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Assumptions" sheetId="2" state="visible" r:id="rId4"/>
    <sheet name="Tenants" sheetId="3" state="visible" r:id="rId5"/>
    <sheet name="Lease CF" sheetId="4" state="visible" r:id="rId6"/>
    <sheet name="Property CF" sheetId="5" state="visible" r:id="rId7"/>
    <sheet name="Returns" sheetId="6" state="visible" r:id="rId8"/>
    <sheet name="Lease Summary" sheetId="7" state="visible" r:id="rId9"/>
    <sheet name="Sensitivity" sheetId="8" state="visible" r:id="rId10"/>
    <sheet name="Check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<sst xmlns="http://schemas.openxmlformats.org/spreadsheetml/2006/main" count="312" uniqueCount="201">
  <si>
    <t xml:space="preserve">AA Deal Desk | Sample Commercial Acquisition Summary</t>
  </si>
  <si>
    <t xml:space="preserve">124,000 sq ft multi-tenant industrial, retail and office center. Illustrative figures. Lease detail is on the Tenants sheet.</t>
  </si>
  <si>
    <t xml:space="preserve">Property</t>
  </si>
  <si>
    <t xml:space="preserve">Returns</t>
  </si>
  <si>
    <t xml:space="preserve">Multi-tenant commercial center</t>
  </si>
  <si>
    <t xml:space="preserve">Exit cap rate</t>
  </si>
  <si>
    <t xml:space="preserve">Purchase price</t>
  </si>
  <si>
    <t xml:space="preserve">Year 8 NOI (sale basis)</t>
  </si>
  <si>
    <t xml:space="preserve">Price per sq ft</t>
  </si>
  <si>
    <t xml:space="preserve">Gross sale price</t>
  </si>
  <si>
    <t xml:space="preserve">Building size (sq ft)</t>
  </si>
  <si>
    <t xml:space="preserve">Equity invested</t>
  </si>
  <si>
    <t xml:space="preserve">Occupancy today</t>
  </si>
  <si>
    <t xml:space="preserve">Levered IRR (7-year)</t>
  </si>
  <si>
    <t xml:space="preserve">WALT by sq ft (years)</t>
  </si>
  <si>
    <t xml:space="preserve">Equity multiple</t>
  </si>
  <si>
    <t xml:space="preserve">Year 1 NOI</t>
  </si>
  <si>
    <t xml:space="preserve">Average cash-on-cash</t>
  </si>
  <si>
    <t xml:space="preserve">Going-in cap rate</t>
  </si>
  <si>
    <t xml:space="preserve">Total profit to equity</t>
  </si>
  <si>
    <t xml:space="preserve">Loan amount</t>
  </si>
  <si>
    <t xml:space="preserve">Largest rollover year (% of building)</t>
  </si>
  <si>
    <t xml:space="preserve">Year 1 DSCR</t>
  </si>
  <si>
    <t xml:space="preserve">How to read this workbook</t>
  </si>
  <si>
    <t xml:space="preserve">Tenants: one row per lease with rent, escalation, remaining term, market rent, renewal odds, downtime, free rent, TI and LC.</t>
  </si>
  <si>
    <t xml:space="preserve">Lease CF: each lease projected year by year. Property CF: all leases rolled into one statement.</t>
  </si>
  <si>
    <t xml:space="preserve">Returns: debt, sale and levered returns. Lease Summary: WALT and the rollover calendar.</t>
  </si>
  <si>
    <t xml:space="preserve">Sensitivity: IRR against exit cap rate and purchase price.</t>
  </si>
  <si>
    <t xml:space="preserve">Sample deal for demonstration. Prepared by AA Deal Desk. aadealdesk.online</t>
  </si>
  <si>
    <t xml:space="preserve">Model checks</t>
  </si>
  <si>
    <t xml:space="preserve">Assumptions</t>
  </si>
  <si>
    <t xml:space="preserve">AA Deal Desk | Sample 124,000 sq ft multi-tenant commercial center (industrial, retail and office). Blue = input.</t>
  </si>
  <si>
    <t xml:space="preserve">Purchase and financing</t>
  </si>
  <si>
    <t xml:space="preserve">Purchase price ($)</t>
  </si>
  <si>
    <t xml:space="preserve">Illustrative price for the sample property.</t>
  </si>
  <si>
    <t xml:space="preserve">Closing costs (% of price)</t>
  </si>
  <si>
    <t xml:space="preserve">Loan-to-value</t>
  </si>
  <si>
    <t xml:space="preserve">Interest rate (fixed)</t>
  </si>
  <si>
    <t xml:space="preserve">Amortization (years)</t>
  </si>
  <si>
    <t xml:space="preserve">Monthly payments.</t>
  </si>
  <si>
    <t xml:space="preserve">Sale at end of year</t>
  </si>
  <si>
    <t xml:space="preserve">Fixed at 7 years. The model projects 8 years so the buyer's forward NOI is known.</t>
  </si>
  <si>
    <t xml:space="preserve">Applied to year 8 NOI.</t>
  </si>
  <si>
    <t xml:space="preserve">Sale costs (% of price)</t>
  </si>
  <si>
    <t xml:space="preserve">Operations</t>
  </si>
  <si>
    <t xml:space="preserve">Market rent growth (per year)</t>
  </si>
  <si>
    <t xml:space="preserve">Applied to market rents at rollover.</t>
  </si>
  <si>
    <t xml:space="preserve">Operating expense growth (per year)</t>
  </si>
  <si>
    <t xml:space="preserve">Recoverable expenses ($ per sq ft, year 1)</t>
  </si>
  <si>
    <t xml:space="preserve">Real estate taxes, insurance and common area costs.</t>
  </si>
  <si>
    <t xml:space="preserve">Management fee (% of EGI)</t>
  </si>
  <si>
    <t xml:space="preserve">Not recovered from tenants.</t>
  </si>
  <si>
    <t xml:space="preserve">Non-recoverable G&amp;A ($ per sq ft, year 1)</t>
  </si>
  <si>
    <t xml:space="preserve">Credit loss (% of base rent)</t>
  </si>
  <si>
    <t xml:space="preserve">General allowance on top of the lease-by-lease vacancy.</t>
  </si>
  <si>
    <t xml:space="preserve">Capital reserve ($ per sq ft per year, year 1)</t>
  </si>
  <si>
    <t xml:space="preserve">Roof, paving and building systems.</t>
  </si>
  <si>
    <t xml:space="preserve">Lease terms are on the Tenants sheet. All figures are invented for this sample.</t>
  </si>
  <si>
    <t xml:space="preserve">Tenant Schedule</t>
  </si>
  <si>
    <t xml:space="preserve">AA Deal Desk | One row per lease. Blue cells are inputs. Generic tenant names for the sample.</t>
  </si>
  <si>
    <t xml:space="preserve">Tenant</t>
  </si>
  <si>
    <t xml:space="preserve">Use</t>
  </si>
  <si>
    <t xml:space="preserve">Sq ft</t>
  </si>
  <si>
    <t xml:space="preserve">Structure</t>
  </si>
  <si>
    <t xml:space="preserve">In-place rent ($/sf)</t>
  </si>
  <si>
    <t xml:space="preserve">Annual escalation</t>
  </si>
  <si>
    <t xml:space="preserve">Remaining term (years)</t>
  </si>
  <si>
    <t xml:space="preserve">Market rent today ($/sf)</t>
  </si>
  <si>
    <t xml:space="preserve">Renewal probability</t>
  </si>
  <si>
    <t xml:space="preserve">Downtime (months)</t>
  </si>
  <si>
    <t xml:space="preserve">Free rent, new lease (months)</t>
  </si>
  <si>
    <t xml:space="preserve">TI new ($/sf)</t>
  </si>
  <si>
    <t xml:space="preserve">TI renewal ($/sf)</t>
  </si>
  <si>
    <t xml:space="preserve">LC new (% of rent)</t>
  </si>
  <si>
    <t xml:space="preserve">LC renewal (% of rent)</t>
  </si>
  <si>
    <t xml:space="preserve">New lease term (years)</t>
  </si>
  <si>
    <t xml:space="preserve">Share of building</t>
  </si>
  <si>
    <t xml:space="preserve">Rollover year</t>
  </si>
  <si>
    <t xml:space="preserve">Tenant 1</t>
  </si>
  <si>
    <t xml:space="preserve">Industrial distribution</t>
  </si>
  <si>
    <t xml:space="preserve">NNN</t>
  </si>
  <si>
    <t xml:space="preserve">Tenant 2</t>
  </si>
  <si>
    <t xml:space="preserve">Light industrial / flex</t>
  </si>
  <si>
    <t xml:space="preserve">Tenant 3</t>
  </si>
  <si>
    <t xml:space="preserve">Retail anchor (grocery)</t>
  </si>
  <si>
    <t xml:space="preserve">Tenant 4</t>
  </si>
  <si>
    <t xml:space="preserve">Retail inline (restaurant)</t>
  </si>
  <si>
    <t xml:space="preserve">Tenant 5</t>
  </si>
  <si>
    <t xml:space="preserve">Retail inline (services)</t>
  </si>
  <si>
    <t xml:space="preserve">Base year</t>
  </si>
  <si>
    <t xml:space="preserve">Tenant 6</t>
  </si>
  <si>
    <t xml:space="preserve">Office (professional services)</t>
  </si>
  <si>
    <t xml:space="preserve">Suite 7 (vacant)</t>
  </si>
  <si>
    <t xml:space="preserve">Flex, currently vacant</t>
  </si>
  <si>
    <t xml:space="preserve">Total</t>
  </si>
  <si>
    <t xml:space="preserve">Notes</t>
  </si>
  <si>
    <t xml:space="preserve">Structure NNN: tenant repays its share of taxes, insurance and common area costs. Base year: tenant repays only increases above year 1.</t>
  </si>
  <si>
    <t xml:space="preserve">At rollover, the tenant renews with the renewal probability. Otherwise the space sits empty for the downtime months, then a new tenant pays market rent after the free rent.</t>
  </si>
  <si>
    <t xml:space="preserve">Downtime and free rent are limited to 12 months each and are applied in the year the lease rolls. Leasing costs (TI, LC) are paid in the same year.</t>
  </si>
  <si>
    <t xml:space="preserve">Rollover year 99 means the lease runs past the 8-year projection.</t>
  </si>
  <si>
    <t xml:space="preserve">Lease-by-Lease Cash Flow</t>
  </si>
  <si>
    <t xml:space="preserve">AA Deal Desk | Each tenant: in-place rent, rollover, downtime, free rent, recoveries and leasing costs, by year.</t>
  </si>
  <si>
    <t xml:space="preserve">($)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</si>
  <si>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</si>
  <si>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</si>
  <si>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</si>
  <si>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</si>
  <si>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</si>
  <si>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Year 6</t>
  </si>
  <si>
    <t xml:space="preserve">Year 7</t>
  </si>
  <si>
    <t xml:space="preserve">Year 8</t>
  </si>
  <si>
    <t xml:space="preserve">Year index</t>
  </si>
  <si>
    <t xml:space="preserve">Recoverable expenses, whole property</t>
  </si>
  <si>
    <t xml:space="preserve">Share of lease still in place</t>
  </si>
  <si>
    <t xml:space="preserve">In-place rent</t>
  </si>
  <si>
    <t xml:space="preserve">Rollover rent (market, after expiry)</t>
  </si>
  <si>
    <t xml:space="preserve">Less: downtime</t>
  </si>
  <si>
    <t xml:space="preserve">Less: free rent on new lease</t>
  </si>
  <si>
    <t xml:space="preserve">Net base rent</t>
  </si>
  <si>
    <t xml:space="preserve">Share of space paying recoveries</t>
  </si>
  <si>
    <t xml:space="preserve">Expense recoveries</t>
  </si>
  <si>
    <t xml:space="preserve">Tenant improvements</t>
  </si>
  <si>
    <t xml:space="preserve">Leasing commissions</t>
  </si>
  <si>
    <t xml:space="preserve">Property Cash Flow</t>
  </si>
  <si>
    <t xml:space="preserve">AA Deal Desk | All tenants rolled into one operating statement, then leasing costs and reserves.</t>
  </si>
  <si>
    <t xml:space="preserve">In-place base rent</t>
  </si>
  <si>
    <t xml:space="preserve">Rollover rent</t>
  </si>
  <si>
    <t xml:space="preserve">Less: free rent</t>
  </si>
  <si>
    <t xml:space="preserve">Net base rental revenue</t>
  </si>
  <si>
    <t xml:space="preserve">Less: credit loss</t>
  </si>
  <si>
    <t xml:space="preserve">Effective gross income (EGI)</t>
  </si>
  <si>
    <t xml:space="preserve">Recoverable expenses (taxes, insurance, common area)</t>
  </si>
  <si>
    <t xml:space="preserve">Management fee</t>
  </si>
  <si>
    <t xml:space="preserve">Non-recoverable G&amp;A</t>
  </si>
  <si>
    <t xml:space="preserve">Total operating expenses</t>
  </si>
  <si>
    <t xml:space="preserve">Net operating income (NOI)</t>
  </si>
  <si>
    <t xml:space="preserve">Capital reserve</t>
  </si>
  <si>
    <t xml:space="preserve">Cash flow before debt service</t>
  </si>
  <si>
    <t xml:space="preserve">Occupancy (share of space paying rent)</t>
  </si>
  <si>
    <t xml:space="preserve">NOI per sq ft</t>
  </si>
  <si>
    <t xml:space="preserve">Debt and Returns</t>
  </si>
  <si>
    <t xml:space="preserve">AA Deal Desk | 7-year hold. Year 8 NOI sets the sale price. Debt is fixed rate and amortizing.</t>
  </si>
  <si>
    <t xml:space="preserve">Monthly payment</t>
  </si>
  <si>
    <t xml:space="preserve">Annual debt service</t>
  </si>
  <si>
    <t xml:space="preserve">Loan balance at end of year 7</t>
  </si>
  <si>
    <t xml:space="preserve">Going-in cap rate (year 1 NOI / price)</t>
  </si>
  <si>
    <t xml:space="preserve">Debt yield (year 1 NOI / loan)</t>
  </si>
  <si>
    <t xml:space="preserve">Year 0</t>
  </si>
  <si>
    <t xml:space="preserve">Net operating income</t>
  </si>
  <si>
    <t xml:space="preserve">Leasing costs and reserves</t>
  </si>
  <si>
    <t xml:space="preserve">Less: debt service</t>
  </si>
  <si>
    <t xml:space="preserve">Cash flow after debt service</t>
  </si>
  <si>
    <t xml:space="preserve">Sale at end of year 7</t>
  </si>
  <si>
    <t xml:space="preserve">Year 8 NOI (buyer's forward NOI)</t>
  </si>
  <si>
    <t xml:space="preserve">Less: sale costs</t>
  </si>
  <si>
    <t xml:space="preserve">Less: loan payoff</t>
  </si>
  <si>
    <t xml:space="preserve">Net sale proceeds</t>
  </si>
  <si>
    <t xml:space="preserve">Equity cash flows and returns</t>
  </si>
  <si>
    <t xml:space="preserve">Equity invested (price + closing costs - loan)</t>
  </si>
  <si>
    <t xml:space="preserve">Levered cash flow</t>
  </si>
  <si>
    <t xml:space="preserve">Levered IRR</t>
  </si>
  <si>
    <t xml:space="preserve">Average cash-on-cash (before sale)</t>
  </si>
  <si>
    <t xml:space="preserve">DSCR by year</t>
  </si>
  <si>
    <t xml:space="preserve">Lease Summary and Rollover</t>
  </si>
  <si>
    <t xml:space="preserve">AA Deal Desk | Rent roll snapshot, weighted average lease term and the rollover calendar.</t>
  </si>
  <si>
    <t xml:space="preserve">% of building</t>
  </si>
  <si>
    <t xml:space="preserve">Annual rent today</t>
  </si>
  <si>
    <t xml:space="preserve">Rent ($/sf)</t>
  </si>
  <si>
    <t xml:space="preserve">Years left</t>
  </si>
  <si>
    <t xml:space="preserve">Rolls in year</t>
  </si>
  <si>
    <t xml:space="preserve">Occupancy today (space under lease)</t>
  </si>
  <si>
    <t xml:space="preserve">WALT by sq ft (years, leased space)</t>
  </si>
  <si>
    <t xml:space="preserve">WALT by rent (years)</t>
  </si>
  <si>
    <t xml:space="preserve">Rollover calendar (space whose lease rolls in each year)</t>
  </si>
  <si>
    <t xml:space="preserve">Year</t>
  </si>
  <si>
    <t xml:space="preserve">Sq ft rolling</t>
  </si>
  <si>
    <t xml:space="preserve">Rent rolling</t>
  </si>
  <si>
    <t xml:space="preserve">Sensitivity</t>
  </si>
  <si>
    <t xml:space="preserve">AA Deal Desk | Levered IRR as exit cap rate and purchase price change. Axis values (blue) can be edited.</t>
  </si>
  <si>
    <t xml:space="preserve">Levered IRR (7-year hold)</t>
  </si>
  <si>
    <t xml:space="preserve">Exit cap (down) / purchase price change (across)</t>
  </si>
  <si>
    <t xml:space="preserve">Highlighted cell is the base case (7.25% exit cap, no price change).</t>
  </si>
  <si>
    <t xml:space="preserve">Helper table (feeds the grid)</t>
  </si>
  <si>
    <t xml:space="preserve">Exit cap</t>
  </si>
  <si>
    <t xml:space="preserve">Price change</t>
  </si>
  <si>
    <t xml:space="preserve">IRR</t>
  </si>
  <si>
    <t xml:space="preserve">Model Checks</t>
  </si>
  <si>
    <t xml:space="preserve">AA Deal Desk | Every check should show OK. A failed check means a number on another sheet does not tie.</t>
  </si>
  <si>
    <t xml:space="preserve">Check</t>
  </si>
  <si>
    <t xml:space="preserve">Difference</t>
  </si>
  <si>
    <t xml:space="preserve">Status</t>
  </si>
  <si>
    <t xml:space="preserve">Building size equals sum of tenant space</t>
  </si>
  <si>
    <t xml:space="preserve">Shares of building add to 100%</t>
  </si>
  <si>
    <t xml:space="preserve">Sources equal uses (equity + loan = price + closing costs)</t>
  </si>
  <si>
    <t xml:space="preserve">Year 1 NOI equals EGI less expenses</t>
  </si>
  <si>
    <t xml:space="preserve">Renewal probabilities are between 0% and 100%</t>
  </si>
  <si>
    <t xml:space="preserve">Downtime and free rent are 12 months or less</t>
  </si>
  <si>
    <t xml:space="preserve">Space rolling in any year never exceeds the building</t>
  </si>
  <si>
    <t xml:space="preserve">Sensitivity base case ties to Returns IRR</t>
  </si>
  <si>
    <t xml:space="preserve">Year 1 DSCR is above 1.20x</t>
  </si>
  <si>
    <t xml:space="preserve">Overall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</si>
</sst>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%"/>
    <numFmt numFmtId="166" formatCode="\$#,##0;&quot;($&quot;#,##0\);\-"/>
    <numFmt numFmtId="167" formatCode="\$#,##0.00;&quot;($&quot;#,##0.00\);\-"/>
    <numFmt numFmtId="168" formatCode="#,##0;\(#,##0\);\-"/>
    <numFmt numFmtId="169" formatCode="0.0%;\(0.0%\);\-"/>
    <numFmt numFmtId="170" formatCode="0.0"/>
    <numFmt numFmtId="171" formatCode="0.00\x"/>
    <numFmt numFmtId="172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A2E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CE3EE"/>
        <bgColor rgb="FFF4F1E8"/>
      </patternFill>
    </fill>
    <fill>
      <patternFill patternType="solid">
        <fgColor rgb="FFFFF4C2"/>
        <bgColor rgb="FFF4F1E8"/>
      </patternFill>
    </fill>
    <fill>
      <patternFill patternType="solid">
        <fgColor rgb="FF0B1A2E"/>
        <bgColor rgb="FF000000"/>
      </patternFill>
    </fill>
    <fill>
      <patternFill patternType="solid">
        <fgColor rgb="FFF4F1E8"/>
        <bgColor rgb="FFFFF4C2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0B1A2E"/>
      </top>
      <bottom/>
      <diagonal/>
    </border>
    <border diagonalUp="false" diagonalDown="false">
      <left style="thin">
        <color rgb="FFB8B8B8"/>
      </left>
      <right style="thin">
        <color rgb="FFB8B8B8"/>
      </right>
      <top style="thin">
        <color rgb="FFB8B8B8"/>
      </top>
      <bottom style="thin">
        <color rgb="FFB8B8B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2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2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2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0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72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B8B8"/>
      <rgbColor rgb="FF808080"/>
      <rgbColor rgb="FF9999FF"/>
      <rgbColor rgb="FF993366"/>
      <rgbColor rgb="FFFFF4C2"/>
      <rgbColor rgb="FFF4F1E8"/>
      <rgbColor rgb="FF660066"/>
      <rgbColor rgb="FFFF8080"/>
      <rgbColor rgb="FF0066CC"/>
      <rgbColor rgb="FFDCE3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B1A2E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32"/>
    <col collapsed="false" customWidth="true" hidden="false" outlineLevel="0" max="3" min="3" style="0" width="4"/>
    <col collapsed="false" customWidth="true" hidden="false" outlineLevel="0" max="4" min="4" style="0" width="44"/>
    <col collapsed="false" customWidth="true" hidden="false" outlineLevel="0" max="5" min="5" style="0" width="2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  <c r="D4" s="3" t="s">
        <v>3</v>
      </c>
      <c r="E4" s="4"/>
    </row>
    <row r="5" customFormat="false" ht="15" hidden="false" customHeight="false" outlineLevel="0" collapsed="false">
      <c r="A5" s="5" t="s">
        <v>2</v>
      </c>
      <c r="B5" s="6" t="s">
        <v>4</v>
      </c>
      <c r="D5" s="5" t="s">
        <v>5</v>
      </c>
      <c r="E5" s="7" t="n">
        <f aca="false">Assumptions!$B$11</f>
        <v>0.0725</v>
      </c>
    </row>
    <row r="6" customFormat="false" ht="15" hidden="false" customHeight="false" outlineLevel="0" collapsed="false">
      <c r="A6" s="5" t="s">
        <v>6</v>
      </c>
      <c r="B6" s="8" t="n">
        <f aca="false">Assumptions!$B$5</f>
        <v>19200000</v>
      </c>
      <c r="D6" s="5" t="s">
        <v>7</v>
      </c>
      <c r="E6" s="8" t="n">
        <f aca="false">Returns!B21</f>
        <v>1822114.13216819</v>
      </c>
    </row>
    <row r="7" customFormat="false" ht="15" hidden="false" customHeight="false" outlineLevel="0" collapsed="false">
      <c r="A7" s="5" t="s">
        <v>8</v>
      </c>
      <c r="B7" s="9" t="n">
        <f aca="false">Assumptions!$B$5/Tenants!C12</f>
        <v>154.838709677419</v>
      </c>
      <c r="D7" s="5" t="s">
        <v>9</v>
      </c>
      <c r="E7" s="8" t="n">
        <f aca="false">Returns!B23</f>
        <v>25132608.7195613</v>
      </c>
    </row>
    <row r="8" customFormat="false" ht="15" hidden="false" customHeight="false" outlineLevel="0" collapsed="false">
      <c r="A8" s="5" t="s">
        <v>10</v>
      </c>
      <c r="B8" s="10" t="n">
        <f aca="false">Tenants!C12</f>
        <v>124000</v>
      </c>
      <c r="D8" s="5" t="s">
        <v>11</v>
      </c>
      <c r="E8" s="8" t="n">
        <f aca="false">Returns!C36</f>
        <v>7968000</v>
      </c>
    </row>
    <row r="9" customFormat="false" ht="15" hidden="false" customHeight="false" outlineLevel="0" collapsed="false">
      <c r="A9" s="5" t="s">
        <v>12</v>
      </c>
      <c r="B9" s="11" t="n">
        <f aca="false">'Lease Summary'!C14</f>
        <v>0.951612903225807</v>
      </c>
      <c r="D9" s="5" t="s">
        <v>13</v>
      </c>
      <c r="E9" s="12" t="n">
        <f aca="false">Returns!C32</f>
        <v>0.127993959843652</v>
      </c>
    </row>
    <row r="10" customFormat="false" ht="15" hidden="false" customHeight="false" outlineLevel="0" collapsed="false">
      <c r="A10" s="5" t="s">
        <v>14</v>
      </c>
      <c r="B10" s="13" t="n">
        <f aca="false">'Lease Summary'!C15</f>
        <v>4.33474576271186</v>
      </c>
      <c r="D10" s="5" t="s">
        <v>15</v>
      </c>
      <c r="E10" s="14" t="n">
        <f aca="false">Returns!C33</f>
        <v>2.19502299859436</v>
      </c>
    </row>
    <row r="11" customFormat="false" ht="15" hidden="false" customHeight="false" outlineLevel="0" collapsed="false">
      <c r="A11" s="5" t="s">
        <v>16</v>
      </c>
      <c r="B11" s="8" t="n">
        <f aca="false">'Property CF'!C19</f>
        <v>1302891.505</v>
      </c>
      <c r="D11" s="5" t="s">
        <v>17</v>
      </c>
      <c r="E11" s="11" t="n">
        <f aca="false">Returns!C34</f>
        <v>0.0478963465281141</v>
      </c>
    </row>
    <row r="12" customFormat="false" ht="15" hidden="false" customHeight="false" outlineLevel="0" collapsed="false">
      <c r="A12" s="5" t="s">
        <v>18</v>
      </c>
      <c r="B12" s="15" t="n">
        <f aca="false">Returns!B10</f>
        <v>0.0678589325520833</v>
      </c>
      <c r="D12" s="5" t="s">
        <v>19</v>
      </c>
      <c r="E12" s="8" t="n">
        <f aca="false">Returns!C35</f>
        <v>9521943.25279987</v>
      </c>
    </row>
    <row r="13" customFormat="false" ht="15" hidden="false" customHeight="false" outlineLevel="0" collapsed="false">
      <c r="A13" s="5" t="s">
        <v>20</v>
      </c>
      <c r="B13" s="8" t="n">
        <f aca="false">Returns!B6</f>
        <v>11520000</v>
      </c>
      <c r="D13" s="5" t="s">
        <v>21</v>
      </c>
      <c r="E13" s="11" t="n">
        <f aca="false">MAX('Lease Summary'!D20:D27)</f>
        <v>0.419354838709677</v>
      </c>
    </row>
    <row r="14" customFormat="false" ht="15" hidden="false" customHeight="false" outlineLevel="0" collapsed="false">
      <c r="A14" s="5" t="s">
        <v>22</v>
      </c>
      <c r="B14" s="16" t="n">
        <f aca="false">Returns!B11</f>
        <v>1.3641184723969</v>
      </c>
    </row>
    <row r="16" customFormat="false" ht="15" hidden="false" customHeight="false" outlineLevel="0" collapsed="false">
      <c r="A16" s="3" t="s">
        <v>23</v>
      </c>
      <c r="B16" s="4"/>
      <c r="C16" s="4"/>
      <c r="D16" s="4"/>
      <c r="E16" s="4"/>
    </row>
    <row r="17" customFormat="false" ht="15" hidden="false" customHeight="false" outlineLevel="0" collapsed="false">
      <c r="A17" s="5" t="s">
        <v>24</v>
      </c>
    </row>
    <row r="18" customFormat="false" ht="15" hidden="false" customHeight="false" outlineLevel="0" collapsed="false">
      <c r="A18" s="5" t="s">
        <v>25</v>
      </c>
    </row>
    <row r="19" customFormat="false" ht="15" hidden="false" customHeight="false" outlineLevel="0" collapsed="false">
      <c r="A19" s="5" t="s">
        <v>26</v>
      </c>
    </row>
    <row r="20" customFormat="false" ht="15" hidden="false" customHeight="false" outlineLevel="0" collapsed="false">
      <c r="A20" s="5" t="s">
        <v>27</v>
      </c>
    </row>
    <row r="21" customFormat="false" ht="15" hidden="false" customHeight="false" outlineLevel="0" collapsed="false">
      <c r="A21" s="2" t="s">
        <v>28</v>
      </c>
    </row>
    <row r="23" customFormat="false" ht="15" hidden="false" customHeight="false" outlineLevel="0" collapsed="false">
      <c r="A23" s="17" t="s">
        <v>29</v>
      </c>
      <c r="B23" s="18" t="str">
        <f aca="false">Checks!B15</f>
        <v>ALL CHECKS PASS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property.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6"/>
    <col collapsed="false" customWidth="true" hidden="false" outlineLevel="0" max="3" min="3" style="0" width="66"/>
  </cols>
  <sheetData>
    <row r="1" customFormat="false" ht="19.7" hidden="false" customHeight="false" outlineLevel="0" collapsed="false">
      <c r="A1" s="1" t="s">
        <v>30</v>
      </c>
    </row>
    <row r="2" customFormat="false" ht="15" hidden="false" customHeight="false" outlineLevel="0" collapsed="false">
      <c r="A2" s="2" t="s">
        <v>31</v>
      </c>
    </row>
    <row r="4" customFormat="false" ht="15" hidden="false" customHeight="false" outlineLevel="0" collapsed="false">
      <c r="A4" s="3" t="s">
        <v>32</v>
      </c>
      <c r="B4" s="4"/>
      <c r="C4" s="4"/>
    </row>
    <row r="5" customFormat="false" ht="15" hidden="false" customHeight="false" outlineLevel="0" collapsed="false">
      <c r="A5" s="5" t="s">
        <v>33</v>
      </c>
      <c r="B5" s="19" t="n">
        <v>19200000</v>
      </c>
      <c r="C5" s="2" t="s">
        <v>34</v>
      </c>
    </row>
    <row r="6" customFormat="false" ht="15" hidden="false" customHeight="false" outlineLevel="0" collapsed="false">
      <c r="A6" s="5" t="s">
        <v>35</v>
      </c>
      <c r="B6" s="20" t="n">
        <v>0.015</v>
      </c>
      <c r="C6" s="2"/>
    </row>
    <row r="7" customFormat="false" ht="15" hidden="false" customHeight="false" outlineLevel="0" collapsed="false">
      <c r="A7" s="5" t="s">
        <v>36</v>
      </c>
      <c r="B7" s="20" t="n">
        <v>0.6</v>
      </c>
      <c r="C7" s="2"/>
    </row>
    <row r="8" customFormat="false" ht="15" hidden="false" customHeight="false" outlineLevel="0" collapsed="false">
      <c r="A8" s="5" t="s">
        <v>37</v>
      </c>
      <c r="B8" s="21" t="n">
        <v>0.0675</v>
      </c>
      <c r="C8" s="2"/>
    </row>
    <row r="9" customFormat="false" ht="15" hidden="false" customHeight="false" outlineLevel="0" collapsed="false">
      <c r="A9" s="5" t="s">
        <v>38</v>
      </c>
      <c r="B9" s="22" t="n">
        <v>25</v>
      </c>
      <c r="C9" s="2" t="s">
        <v>39</v>
      </c>
    </row>
    <row r="10" customFormat="false" ht="15" hidden="false" customHeight="false" outlineLevel="0" collapsed="false">
      <c r="A10" s="5" t="s">
        <v>40</v>
      </c>
      <c r="B10" s="22" t="n">
        <v>7</v>
      </c>
      <c r="C10" s="2" t="s">
        <v>41</v>
      </c>
    </row>
    <row r="11" customFormat="false" ht="15" hidden="false" customHeight="false" outlineLevel="0" collapsed="false">
      <c r="A11" s="5" t="s">
        <v>5</v>
      </c>
      <c r="B11" s="21" t="n">
        <v>0.0725</v>
      </c>
      <c r="C11" s="2" t="s">
        <v>42</v>
      </c>
    </row>
    <row r="12" customFormat="false" ht="15" hidden="false" customHeight="false" outlineLevel="0" collapsed="false">
      <c r="A12" s="5" t="s">
        <v>43</v>
      </c>
      <c r="B12" s="20" t="n">
        <v>0.015</v>
      </c>
      <c r="C12" s="2"/>
    </row>
    <row r="14" customFormat="false" ht="15" hidden="false" customHeight="false" outlineLevel="0" collapsed="false">
      <c r="A14" s="3" t="s">
        <v>44</v>
      </c>
      <c r="B14" s="4"/>
      <c r="C14" s="4"/>
    </row>
    <row r="15" customFormat="false" ht="15" hidden="false" customHeight="false" outlineLevel="0" collapsed="false">
      <c r="A15" s="5" t="s">
        <v>45</v>
      </c>
      <c r="B15" s="20" t="n">
        <v>0.03</v>
      </c>
      <c r="C15" s="2" t="s">
        <v>46</v>
      </c>
    </row>
    <row r="16" customFormat="false" ht="15" hidden="false" customHeight="false" outlineLevel="0" collapsed="false">
      <c r="A16" s="5" t="s">
        <v>47</v>
      </c>
      <c r="B16" s="20" t="n">
        <v>0.03</v>
      </c>
      <c r="C16" s="2"/>
    </row>
    <row r="17" customFormat="false" ht="15" hidden="false" customHeight="false" outlineLevel="0" collapsed="false">
      <c r="A17" s="5" t="s">
        <v>48</v>
      </c>
      <c r="B17" s="23" t="n">
        <v>3.4</v>
      </c>
      <c r="C17" s="2" t="s">
        <v>49</v>
      </c>
    </row>
    <row r="18" customFormat="false" ht="15" hidden="false" customHeight="false" outlineLevel="0" collapsed="false">
      <c r="A18" s="5" t="s">
        <v>50</v>
      </c>
      <c r="B18" s="20" t="n">
        <v>0.03</v>
      </c>
      <c r="C18" s="2" t="s">
        <v>51</v>
      </c>
    </row>
    <row r="19" customFormat="false" ht="15" hidden="false" customHeight="false" outlineLevel="0" collapsed="false">
      <c r="A19" s="5" t="s">
        <v>52</v>
      </c>
      <c r="B19" s="23" t="n">
        <v>0.12</v>
      </c>
      <c r="C19" s="2"/>
    </row>
    <row r="20" customFormat="false" ht="15" hidden="false" customHeight="false" outlineLevel="0" collapsed="false">
      <c r="A20" s="5" t="s">
        <v>53</v>
      </c>
      <c r="B20" s="20" t="n">
        <v>0.01</v>
      </c>
      <c r="C20" s="2" t="s">
        <v>54</v>
      </c>
    </row>
    <row r="21" customFormat="false" ht="15" hidden="false" customHeight="false" outlineLevel="0" collapsed="false">
      <c r="A21" s="5" t="s">
        <v>55</v>
      </c>
      <c r="B21" s="23" t="n">
        <v>0.15</v>
      </c>
      <c r="C21" s="2" t="s">
        <v>56</v>
      </c>
    </row>
    <row r="23" customFormat="false" ht="15" hidden="false" customHeight="false" outlineLevel="0" collapsed="false">
      <c r="A23" s="2" t="s">
        <v>57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property.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8"/>
    <col collapsed="false" customWidth="true" hidden="false" outlineLevel="0" max="3" min="3" style="0" width="10"/>
    <col collapsed="false" customWidth="true" hidden="false" outlineLevel="0" max="4" min="4" style="0" width="11"/>
    <col collapsed="false" customWidth="true" hidden="false" outlineLevel="0" max="5" min="5" style="0" width="9"/>
    <col collapsed="false" customWidth="true" hidden="false" outlineLevel="0" max="7" min="6" style="0" width="11"/>
    <col collapsed="false" customWidth="true" hidden="false" outlineLevel="0" max="8" min="8" style="0" width="12"/>
    <col collapsed="false" customWidth="true" hidden="false" outlineLevel="0" max="9" min="9" style="0" width="11"/>
    <col collapsed="false" customWidth="true" hidden="false" outlineLevel="0" max="14" min="10" style="0" width="10"/>
    <col collapsed="false" customWidth="true" hidden="false" outlineLevel="0" max="17" min="15" style="0" width="9"/>
    <col collapsed="false" customWidth="true" hidden="false" outlineLevel="0" max="18" min="18" style="0" width="11"/>
    <col collapsed="false" customWidth="true" hidden="false" outlineLevel="0" max="19" min="19" style="0" width="10"/>
  </cols>
  <sheetData>
    <row r="1" customFormat="false" ht="19.7" hidden="false" customHeight="false" outlineLevel="0" collapsed="false">
      <c r="A1" s="1" t="s">
        <v>58</v>
      </c>
    </row>
    <row r="2" customFormat="false" ht="15" hidden="false" customHeight="false" outlineLevel="0" collapsed="false">
      <c r="A2" s="2" t="s">
        <v>59</v>
      </c>
    </row>
    <row r="4" customFormat="false" ht="43.5" hidden="false" customHeight="true" outlineLevel="0" collapsed="false">
      <c r="A4" s="24" t="s">
        <v>60</v>
      </c>
      <c r="B4" s="25" t="s">
        <v>61</v>
      </c>
      <c r="C4" s="25" t="s">
        <v>62</v>
      </c>
      <c r="D4" s="25" t="s">
        <v>63</v>
      </c>
      <c r="E4" s="25" t="s">
        <v>64</v>
      </c>
      <c r="F4" s="25" t="s">
        <v>65</v>
      </c>
      <c r="G4" s="25" t="s">
        <v>66</v>
      </c>
      <c r="H4" s="25" t="s">
        <v>67</v>
      </c>
      <c r="I4" s="25" t="s">
        <v>68</v>
      </c>
      <c r="J4" s="25" t="s">
        <v>69</v>
      </c>
      <c r="K4" s="25" t="s">
        <v>70</v>
      </c>
      <c r="L4" s="25" t="s">
        <v>71</v>
      </c>
      <c r="M4" s="25" t="s">
        <v>72</v>
      </c>
      <c r="N4" s="25" t="s">
        <v>73</v>
      </c>
      <c r="O4" s="25" t="s">
        <v>74</v>
      </c>
      <c r="P4" s="25" t="s">
        <v>75</v>
      </c>
      <c r="Q4" s="25" t="s">
        <v>76</v>
      </c>
      <c r="R4" s="25" t="s">
        <v>77</v>
      </c>
    </row>
    <row r="5" customFormat="false" ht="15" hidden="false" customHeight="false" outlineLevel="0" collapsed="false">
      <c r="A5" s="5" t="s">
        <v>78</v>
      </c>
      <c r="B5" s="5" t="s">
        <v>79</v>
      </c>
      <c r="C5" s="26" t="n">
        <v>52000</v>
      </c>
      <c r="D5" s="27" t="s">
        <v>80</v>
      </c>
      <c r="E5" s="23" t="n">
        <v>8.4</v>
      </c>
      <c r="F5" s="20" t="n">
        <v>0.03</v>
      </c>
      <c r="G5" s="28" t="n">
        <v>4.5</v>
      </c>
      <c r="H5" s="23" t="n">
        <v>8.9</v>
      </c>
      <c r="I5" s="20" t="n">
        <v>0.65</v>
      </c>
      <c r="J5" s="22" t="n">
        <v>6</v>
      </c>
      <c r="K5" s="22" t="n">
        <v>3</v>
      </c>
      <c r="L5" s="23" t="n">
        <v>3.5</v>
      </c>
      <c r="M5" s="23" t="n">
        <v>1</v>
      </c>
      <c r="N5" s="20" t="n">
        <v>0.06</v>
      </c>
      <c r="O5" s="20" t="n">
        <v>0.03</v>
      </c>
      <c r="P5" s="22" t="n">
        <v>5</v>
      </c>
      <c r="Q5" s="29" t="n">
        <f aca="false">C5/$C$12</f>
        <v>0.419354838709677</v>
      </c>
      <c r="R5" s="30" t="n">
        <f aca="false">IF(G5&gt;8,99,MAX(1,ROUNDUP(G5,0)))</f>
        <v>5</v>
      </c>
    </row>
    <row r="6" customFormat="false" ht="15" hidden="false" customHeight="false" outlineLevel="0" collapsed="false">
      <c r="A6" s="5" t="s">
        <v>81</v>
      </c>
      <c r="B6" s="5" t="s">
        <v>82</v>
      </c>
      <c r="C6" s="26" t="n">
        <v>24000</v>
      </c>
      <c r="D6" s="27" t="s">
        <v>80</v>
      </c>
      <c r="E6" s="23" t="n">
        <v>10.2</v>
      </c>
      <c r="F6" s="20" t="n">
        <v>0.03</v>
      </c>
      <c r="G6" s="28" t="n">
        <v>2</v>
      </c>
      <c r="H6" s="23" t="n">
        <v>11</v>
      </c>
      <c r="I6" s="20" t="n">
        <v>0.6</v>
      </c>
      <c r="J6" s="22" t="n">
        <v>6</v>
      </c>
      <c r="K6" s="22" t="n">
        <v>3</v>
      </c>
      <c r="L6" s="23" t="n">
        <v>4</v>
      </c>
      <c r="M6" s="23" t="n">
        <v>1.25</v>
      </c>
      <c r="N6" s="20" t="n">
        <v>0.06</v>
      </c>
      <c r="O6" s="20" t="n">
        <v>0.03</v>
      </c>
      <c r="P6" s="22" t="n">
        <v>5</v>
      </c>
      <c r="Q6" s="29" t="n">
        <f aca="false">C6/$C$12</f>
        <v>0.193548387096774</v>
      </c>
      <c r="R6" s="30" t="n">
        <f aca="false">IF(G6&gt;8,99,MAX(1,ROUNDUP(G6,0)))</f>
        <v>2</v>
      </c>
    </row>
    <row r="7" customFormat="false" ht="15" hidden="false" customHeight="false" outlineLevel="0" collapsed="false">
      <c r="A7" s="5" t="s">
        <v>83</v>
      </c>
      <c r="B7" s="5" t="s">
        <v>84</v>
      </c>
      <c r="C7" s="26" t="n">
        <v>28000</v>
      </c>
      <c r="D7" s="27" t="s">
        <v>80</v>
      </c>
      <c r="E7" s="23" t="n">
        <v>14.5</v>
      </c>
      <c r="F7" s="20" t="n">
        <v>0.02</v>
      </c>
      <c r="G7" s="28" t="n">
        <v>7</v>
      </c>
      <c r="H7" s="23" t="n">
        <v>15.5</v>
      </c>
      <c r="I7" s="20" t="n">
        <v>0.8</v>
      </c>
      <c r="J7" s="22" t="n">
        <v>9</v>
      </c>
      <c r="K7" s="22" t="n">
        <v>4</v>
      </c>
      <c r="L7" s="23" t="n">
        <v>8</v>
      </c>
      <c r="M7" s="23" t="n">
        <v>2</v>
      </c>
      <c r="N7" s="20" t="n">
        <v>0.05</v>
      </c>
      <c r="O7" s="20" t="n">
        <v>0.025</v>
      </c>
      <c r="P7" s="22" t="n">
        <v>10</v>
      </c>
      <c r="Q7" s="29" t="n">
        <f aca="false">C7/$C$12</f>
        <v>0.225806451612903</v>
      </c>
      <c r="R7" s="30" t="n">
        <f aca="false">IF(G7&gt;8,99,MAX(1,ROUNDUP(G7,0)))</f>
        <v>7</v>
      </c>
    </row>
    <row r="8" customFormat="false" ht="15" hidden="false" customHeight="false" outlineLevel="0" collapsed="false">
      <c r="A8" s="5" t="s">
        <v>85</v>
      </c>
      <c r="B8" s="5" t="s">
        <v>86</v>
      </c>
      <c r="C8" s="26" t="n">
        <v>6000</v>
      </c>
      <c r="D8" s="27" t="s">
        <v>80</v>
      </c>
      <c r="E8" s="23" t="n">
        <v>26</v>
      </c>
      <c r="F8" s="20" t="n">
        <v>0.03</v>
      </c>
      <c r="G8" s="28" t="n">
        <v>3</v>
      </c>
      <c r="H8" s="23" t="n">
        <v>28</v>
      </c>
      <c r="I8" s="20" t="n">
        <v>0.55</v>
      </c>
      <c r="J8" s="22" t="n">
        <v>8</v>
      </c>
      <c r="K8" s="22" t="n">
        <v>4</v>
      </c>
      <c r="L8" s="23" t="n">
        <v>30</v>
      </c>
      <c r="M8" s="23" t="n">
        <v>6</v>
      </c>
      <c r="N8" s="20" t="n">
        <v>0.06</v>
      </c>
      <c r="O8" s="20" t="n">
        <v>0.03</v>
      </c>
      <c r="P8" s="22" t="n">
        <v>5</v>
      </c>
      <c r="Q8" s="29" t="n">
        <f aca="false">C8/$C$12</f>
        <v>0.0483870967741936</v>
      </c>
      <c r="R8" s="30" t="n">
        <f aca="false">IF(G8&gt;8,99,MAX(1,ROUNDUP(G8,0)))</f>
        <v>3</v>
      </c>
    </row>
    <row r="9" customFormat="false" ht="15" hidden="false" customHeight="false" outlineLevel="0" collapsed="false">
      <c r="A9" s="5" t="s">
        <v>87</v>
      </c>
      <c r="B9" s="5" t="s">
        <v>88</v>
      </c>
      <c r="C9" s="26" t="n">
        <v>4500</v>
      </c>
      <c r="D9" s="27" t="s">
        <v>89</v>
      </c>
      <c r="E9" s="23" t="n">
        <v>22</v>
      </c>
      <c r="F9" s="20" t="n">
        <v>0.03</v>
      </c>
      <c r="G9" s="28" t="n">
        <v>1.5</v>
      </c>
      <c r="H9" s="23" t="n">
        <v>24</v>
      </c>
      <c r="I9" s="20" t="n">
        <v>0.6</v>
      </c>
      <c r="J9" s="22" t="n">
        <v>6</v>
      </c>
      <c r="K9" s="22" t="n">
        <v>3</v>
      </c>
      <c r="L9" s="23" t="n">
        <v>15</v>
      </c>
      <c r="M9" s="23" t="n">
        <v>4</v>
      </c>
      <c r="N9" s="20" t="n">
        <v>0.06</v>
      </c>
      <c r="O9" s="20" t="n">
        <v>0.03</v>
      </c>
      <c r="P9" s="22" t="n">
        <v>5</v>
      </c>
      <c r="Q9" s="29" t="n">
        <f aca="false">C9/$C$12</f>
        <v>0.0362903225806452</v>
      </c>
      <c r="R9" s="30" t="n">
        <f aca="false">IF(G9&gt;8,99,MAX(1,ROUNDUP(G9,0)))</f>
        <v>2</v>
      </c>
    </row>
    <row r="10" customFormat="false" ht="15" hidden="false" customHeight="false" outlineLevel="0" collapsed="false">
      <c r="A10" s="5" t="s">
        <v>90</v>
      </c>
      <c r="B10" s="5" t="s">
        <v>91</v>
      </c>
      <c r="C10" s="26" t="n">
        <v>3500</v>
      </c>
      <c r="D10" s="27" t="s">
        <v>89</v>
      </c>
      <c r="E10" s="23" t="n">
        <v>24.5</v>
      </c>
      <c r="F10" s="20" t="n">
        <v>0.025</v>
      </c>
      <c r="G10" s="28" t="n">
        <v>2.5</v>
      </c>
      <c r="H10" s="23" t="n">
        <v>26</v>
      </c>
      <c r="I10" s="20" t="n">
        <v>0.6</v>
      </c>
      <c r="J10" s="22" t="n">
        <v>8</v>
      </c>
      <c r="K10" s="22" t="n">
        <v>4</v>
      </c>
      <c r="L10" s="23" t="n">
        <v>28</v>
      </c>
      <c r="M10" s="23" t="n">
        <v>8</v>
      </c>
      <c r="N10" s="20" t="n">
        <v>0.06</v>
      </c>
      <c r="O10" s="20" t="n">
        <v>0.03</v>
      </c>
      <c r="P10" s="22" t="n">
        <v>5</v>
      </c>
      <c r="Q10" s="29" t="n">
        <f aca="false">C10/$C$12</f>
        <v>0.0282258064516129</v>
      </c>
      <c r="R10" s="30" t="n">
        <f aca="false">IF(G10&gt;8,99,MAX(1,ROUNDUP(G10,0)))</f>
        <v>3</v>
      </c>
    </row>
    <row r="11" customFormat="false" ht="15" hidden="false" customHeight="false" outlineLevel="0" collapsed="false">
      <c r="A11" s="5" t="s">
        <v>92</v>
      </c>
      <c r="B11" s="5" t="s">
        <v>93</v>
      </c>
      <c r="C11" s="26" t="n">
        <v>6000</v>
      </c>
      <c r="D11" s="27" t="s">
        <v>80</v>
      </c>
      <c r="E11" s="23" t="n">
        <v>0</v>
      </c>
      <c r="F11" s="20" t="n">
        <v>0.03</v>
      </c>
      <c r="G11" s="28" t="n">
        <v>0</v>
      </c>
      <c r="H11" s="23" t="n">
        <v>11</v>
      </c>
      <c r="I11" s="20" t="n">
        <v>0</v>
      </c>
      <c r="J11" s="22" t="n">
        <v>9</v>
      </c>
      <c r="K11" s="22" t="n">
        <v>3</v>
      </c>
      <c r="L11" s="23" t="n">
        <v>4.5</v>
      </c>
      <c r="M11" s="23" t="n">
        <v>1.25</v>
      </c>
      <c r="N11" s="20" t="n">
        <v>0.06</v>
      </c>
      <c r="O11" s="20" t="n">
        <v>0.03</v>
      </c>
      <c r="P11" s="22" t="n">
        <v>5</v>
      </c>
      <c r="Q11" s="29" t="n">
        <f aca="false">C11/$C$12</f>
        <v>0.0483870967741936</v>
      </c>
      <c r="R11" s="30" t="n">
        <f aca="false">IF(G11&gt;8,99,MAX(1,ROUNDUP(G11,0)))</f>
        <v>1</v>
      </c>
    </row>
    <row r="12" customFormat="false" ht="15" hidden="false" customHeight="false" outlineLevel="0" collapsed="false">
      <c r="A12" s="31" t="s">
        <v>94</v>
      </c>
      <c r="B12" s="32"/>
      <c r="C12" s="33" t="n">
        <f aca="false">SUM(C5:C11)</f>
        <v>124000</v>
      </c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4" t="n">
        <f aca="false">SUM(Q5:Q11)</f>
        <v>1</v>
      </c>
      <c r="R12" s="32"/>
    </row>
    <row r="14" customFormat="false" ht="15" hidden="false" customHeight="false" outlineLevel="0" collapsed="false">
      <c r="A14" s="17" t="s">
        <v>95</v>
      </c>
    </row>
    <row r="15" customFormat="false" ht="15" hidden="false" customHeight="false" outlineLevel="0" collapsed="false">
      <c r="A15" s="2" t="s">
        <v>96</v>
      </c>
    </row>
    <row r="16" customFormat="false" ht="15" hidden="false" customHeight="false" outlineLevel="0" collapsed="false">
      <c r="A16" s="2" t="s">
        <v>97</v>
      </c>
    </row>
    <row r="17" customFormat="false" ht="15" hidden="false" customHeight="false" outlineLevel="0" collapsed="false">
      <c r="A17" s="2" t="s">
        <v>98</v>
      </c>
    </row>
    <row r="18" customFormat="false" ht="15" hidden="false" customHeight="false" outlineLevel="0" collapsed="false">
      <c r="A18" s="2" t="s">
        <v>99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property.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9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4"/>
    <col collapsed="false" customWidth="true" hidden="false" outlineLevel="0" max="10" min="3" style="0" width="14"/>
  </cols>
  <sheetData>
    <row r="1" customFormat="false" ht="19.7" hidden="false" customHeight="false" outlineLevel="0" collapsed="false">
      <c r="A1" s="1" t="s">
        <v>100</v>
      </c>
    </row>
    <row r="2" customFormat="false" ht="15" hidden="false" customHeight="false" outlineLevel="0" collapsed="false">
      <c r="A2" s="2" t="s">
        <v>101</v>
      </c>
    </row>
    <row r="4" customFormat="false" ht="15" hidden="false" customHeight="false" outlineLevel="0" collapsed="false">
      <c r="A4" s="24" t="s">
        <v>102</v>
      </c>
      <c r="B4" s="25"/>
      <c r="C4" s="25" t="s">
        <v>103</v>
      </c>
      <c r="D4" s="25" t="s">
        <v>104</v>
      </c>
      <c r="E4" s="25" t="s">
        <v>105</v>
      </c>
      <c r="F4" s="25" t="s">
        <v>106</v>
      </c>
      <c r="G4" s="25" t="s">
        <v>107</v>
      </c>
      <c r="H4" s="25" t="s">
        <v>108</v>
      </c>
      <c r="I4" s="25" t="s">
        <v>109</v>
      </c>
      <c r="J4" s="25" t="s">
        <v>110</v>
      </c>
    </row>
    <row r="5" customFormat="false" ht="15" hidden="false" customHeight="false" outlineLevel="0" collapsed="false">
      <c r="A5" s="2" t="s">
        <v>111</v>
      </c>
      <c r="C5" s="35" t="n">
        <v>1</v>
      </c>
      <c r="D5" s="35" t="n">
        <v>2</v>
      </c>
      <c r="E5" s="35" t="n">
        <v>3</v>
      </c>
      <c r="F5" s="35" t="n">
        <v>4</v>
      </c>
      <c r="G5" s="35" t="n">
        <v>5</v>
      </c>
      <c r="H5" s="35" t="n">
        <v>6</v>
      </c>
      <c r="I5" s="35" t="n">
        <v>7</v>
      </c>
      <c r="J5" s="35" t="n">
        <v>8</v>
      </c>
    </row>
    <row r="6" customFormat="false" ht="15" hidden="false" customHeight="false" outlineLevel="0" collapsed="false">
      <c r="A6" s="17" t="s">
        <v>112</v>
      </c>
      <c r="C6" s="36" t="n">
        <f aca="false">Assumptions!$B$17*Tenants!$C$12*(1+Assumptions!$B$16)^(C$5-1)</f>
        <v>421600</v>
      </c>
      <c r="D6" s="36" t="n">
        <f aca="false">Assumptions!$B$17*Tenants!$C$12*(1+Assumptions!$B$16)^(D$5-1)</f>
        <v>434248</v>
      </c>
      <c r="E6" s="36" t="n">
        <f aca="false">Assumptions!$B$17*Tenants!$C$12*(1+Assumptions!$B$16)^(E$5-1)</f>
        <v>447275.44</v>
      </c>
      <c r="F6" s="36" t="n">
        <f aca="false">Assumptions!$B$17*Tenants!$C$12*(1+Assumptions!$B$16)^(F$5-1)</f>
        <v>460693.7032</v>
      </c>
      <c r="G6" s="36" t="n">
        <f aca="false">Assumptions!$B$17*Tenants!$C$12*(1+Assumptions!$B$16)^(G$5-1)</f>
        <v>474514.514296</v>
      </c>
      <c r="H6" s="36" t="n">
        <f aca="false">Assumptions!$B$17*Tenants!$C$12*(1+Assumptions!$B$16)^(H$5-1)</f>
        <v>488749.94972488</v>
      </c>
      <c r="I6" s="36" t="n">
        <f aca="false">Assumptions!$B$17*Tenants!$C$12*(1+Assumptions!$B$16)^(I$5-1)</f>
        <v>503412.448216627</v>
      </c>
      <c r="J6" s="36" t="n">
        <f aca="false">Assumptions!$B$17*Tenants!$C$12*(1+Assumptions!$B$16)^(J$5-1)</f>
        <v>518514.821663125</v>
      </c>
    </row>
    <row r="8" customFormat="false" ht="15" hidden="false" customHeight="false" outlineLevel="0" collapsed="false">
      <c r="A8" s="3" t="str">
        <f aca="false">Tenants!A5&amp;"  |  "&amp;Tenants!B5</f>
        <v>Tenant 1  |  Industrial distribution</v>
      </c>
      <c r="B8" s="4"/>
      <c r="C8" s="4"/>
      <c r="D8" s="4"/>
      <c r="E8" s="4"/>
      <c r="F8" s="4"/>
      <c r="G8" s="4"/>
      <c r="H8" s="4"/>
      <c r="I8" s="4"/>
      <c r="J8" s="4"/>
    </row>
    <row r="9" customFormat="false" ht="15" hidden="false" customHeight="false" outlineLevel="0" collapsed="false">
      <c r="A9" s="5" t="s">
        <v>113</v>
      </c>
      <c r="C9" s="29" t="n">
        <f aca="false">MAX(0,MIN(1,Tenants!$G$5-(C$5-1)))</f>
        <v>1</v>
      </c>
      <c r="D9" s="29" t="n">
        <f aca="false">MAX(0,MIN(1,Tenants!$G$5-(D$5-1)))</f>
        <v>1</v>
      </c>
      <c r="E9" s="29" t="n">
        <f aca="false">MAX(0,MIN(1,Tenants!$G$5-(E$5-1)))</f>
        <v>1</v>
      </c>
      <c r="F9" s="29" t="n">
        <f aca="false">MAX(0,MIN(1,Tenants!$G$5-(F$5-1)))</f>
        <v>1</v>
      </c>
      <c r="G9" s="29" t="n">
        <f aca="false">MAX(0,MIN(1,Tenants!$G$5-(G$5-1)))</f>
        <v>0.5</v>
      </c>
      <c r="H9" s="29" t="n">
        <f aca="false">MAX(0,MIN(1,Tenants!$G$5-(H$5-1)))</f>
        <v>0</v>
      </c>
      <c r="I9" s="29" t="n">
        <f aca="false">MAX(0,MIN(1,Tenants!$G$5-(I$5-1)))</f>
        <v>0</v>
      </c>
      <c r="J9" s="29" t="n">
        <f aca="false">MAX(0,MIN(1,Tenants!$G$5-(J$5-1)))</f>
        <v>0</v>
      </c>
    </row>
    <row r="10" customFormat="false" ht="15" hidden="false" customHeight="false" outlineLevel="0" collapsed="false">
      <c r="A10" s="5" t="s">
        <v>114</v>
      </c>
      <c r="C10" s="36" t="n">
        <f aca="false">Tenants!$C$5*Tenants!$E$5*(1+Tenants!$F$5)^(C$5-1)*C9</f>
        <v>436800</v>
      </c>
      <c r="D10" s="36" t="n">
        <f aca="false">Tenants!$C$5*Tenants!$E$5*(1+Tenants!$F$5)^(D$5-1)*D9</f>
        <v>449904</v>
      </c>
      <c r="E10" s="36" t="n">
        <f aca="false">Tenants!$C$5*Tenants!$E$5*(1+Tenants!$F$5)^(E$5-1)*E9</f>
        <v>463401.12</v>
      </c>
      <c r="F10" s="36" t="n">
        <f aca="false">Tenants!$C$5*Tenants!$E$5*(1+Tenants!$F$5)^(F$5-1)*F9</f>
        <v>477303.1536</v>
      </c>
      <c r="G10" s="36" t="n">
        <f aca="false">Tenants!$C$5*Tenants!$E$5*(1+Tenants!$F$5)^(G$5-1)*G9</f>
        <v>245811.124104</v>
      </c>
      <c r="H10" s="36" t="n">
        <f aca="false">Tenants!$C$5*Tenants!$E$5*(1+Tenants!$F$5)^(H$5-1)*H9</f>
        <v>0</v>
      </c>
      <c r="I10" s="36" t="n">
        <f aca="false">Tenants!$C$5*Tenants!$E$5*(1+Tenants!$F$5)^(I$5-1)*I9</f>
        <v>0</v>
      </c>
      <c r="J10" s="36" t="n">
        <f aca="false">Tenants!$C$5*Tenants!$E$5*(1+Tenants!$F$5)^(J$5-1)*J9</f>
        <v>0</v>
      </c>
    </row>
    <row r="11" customFormat="false" ht="15" hidden="false" customHeight="false" outlineLevel="0" collapsed="false">
      <c r="A11" s="5" t="s">
        <v>115</v>
      </c>
      <c r="C11" s="36" t="n">
        <f aca="false">Tenants!$C$5*Tenants!$H$5*(1+Assumptions!$B$15)^(C$5-1)*(1-C9)</f>
        <v>0</v>
      </c>
      <c r="D11" s="36" t="n">
        <f aca="false">Tenants!$C$5*Tenants!$H$5*(1+Assumptions!$B$15)^(D$5-1)*(1-D9)</f>
        <v>0</v>
      </c>
      <c r="E11" s="36" t="n">
        <f aca="false">Tenants!$C$5*Tenants!$H$5*(1+Assumptions!$B$15)^(E$5-1)*(1-E9)</f>
        <v>0</v>
      </c>
      <c r="F11" s="36" t="n">
        <f aca="false">Tenants!$C$5*Tenants!$H$5*(1+Assumptions!$B$15)^(F$5-1)*(1-F9)</f>
        <v>0</v>
      </c>
      <c r="G11" s="36" t="n">
        <f aca="false">Tenants!$C$5*Tenants!$H$5*(1+Assumptions!$B$15)^(G$5-1)*(1-G9)</f>
        <v>260442.738634</v>
      </c>
      <c r="H11" s="36" t="n">
        <f aca="false">Tenants!$C$5*Tenants!$H$5*(1+Assumptions!$B$15)^(H$5-1)*(1-H9)</f>
        <v>536512.04158604</v>
      </c>
      <c r="I11" s="36" t="n">
        <f aca="false">Tenants!$C$5*Tenants!$H$5*(1+Assumptions!$B$15)^(I$5-1)*(1-I9)</f>
        <v>552607.402833621</v>
      </c>
      <c r="J11" s="36" t="n">
        <f aca="false">Tenants!$C$5*Tenants!$H$5*(1+Assumptions!$B$15)^(J$5-1)*(1-J9)</f>
        <v>569185.62491863</v>
      </c>
    </row>
    <row r="12" customFormat="false" ht="15" hidden="false" customHeight="false" outlineLevel="0" collapsed="false">
      <c r="A12" s="5" t="s">
        <v>116</v>
      </c>
      <c r="C12" s="36" t="n">
        <f aca="false">-IF(C$5=Tenants!$R$5,(1-Tenants!$I$5)*MIN(1-C9,Tenants!$J$5/12)*Tenants!$C$5*Tenants!$H$5*(1+Assumptions!$B$15)^(C$5-1),0)</f>
        <v>-0</v>
      </c>
      <c r="D12" s="36" t="n">
        <f aca="false">-IF(D$5=Tenants!$R$5,(1-Tenants!$I$5)*MIN(1-D9,Tenants!$J$5/12)*Tenants!$C$5*Tenants!$H$5*(1+Assumptions!$B$15)^(D$5-1),0)</f>
        <v>-0</v>
      </c>
      <c r="E12" s="36" t="n">
        <f aca="false">-IF(E$5=Tenants!$R$5,(1-Tenants!$I$5)*MIN(1-E9,Tenants!$J$5/12)*Tenants!$C$5*Tenants!$H$5*(1+Assumptions!$B$15)^(E$5-1),0)</f>
        <v>-0</v>
      </c>
      <c r="F12" s="36" t="n">
        <f aca="false">-IF(F$5=Tenants!$R$5,(1-Tenants!$I$5)*MIN(1-F9,Tenants!$J$5/12)*Tenants!$C$5*Tenants!$H$5*(1+Assumptions!$B$15)^(F$5-1),0)</f>
        <v>-0</v>
      </c>
      <c r="G12" s="36" t="n">
        <f aca="false">-IF(G$5=Tenants!$R$5,(1-Tenants!$I$5)*MIN(1-G9,Tenants!$J$5/12)*Tenants!$C$5*Tenants!$H$5*(1+Assumptions!$B$15)^(G$5-1),0)</f>
        <v>-91154.9585219</v>
      </c>
      <c r="H12" s="36" t="n">
        <f aca="false">-IF(H$5=Tenants!$R$5,(1-Tenants!$I$5)*MIN(1-H9,Tenants!$J$5/12)*Tenants!$C$5*Tenants!$H$5*(1+Assumptions!$B$15)^(H$5-1),0)</f>
        <v>-0</v>
      </c>
      <c r="I12" s="36" t="n">
        <f aca="false">-IF(I$5=Tenants!$R$5,(1-Tenants!$I$5)*MIN(1-I9,Tenants!$J$5/12)*Tenants!$C$5*Tenants!$H$5*(1+Assumptions!$B$15)^(I$5-1),0)</f>
        <v>-0</v>
      </c>
      <c r="J12" s="36" t="n">
        <f aca="false">-IF(J$5=Tenants!$R$5,(1-Tenants!$I$5)*MIN(1-J9,Tenants!$J$5/12)*Tenants!$C$5*Tenants!$H$5*(1+Assumptions!$B$15)^(J$5-1),0)</f>
        <v>-0</v>
      </c>
    </row>
    <row r="13" customFormat="false" ht="15" hidden="false" customHeight="false" outlineLevel="0" collapsed="false">
      <c r="A13" s="5" t="s">
        <v>117</v>
      </c>
      <c r="C13" s="36" t="n">
        <f aca="false">-IF(C$5=Tenants!$R$5,(1-Tenants!$I$5)*Tenants!$K$5/12*Tenants!$C$5*Tenants!$H$5*(1+Assumptions!$B$15)^(C$5-1),0)</f>
        <v>-0</v>
      </c>
      <c r="D13" s="36" t="n">
        <f aca="false">-IF(D$5=Tenants!$R$5,(1-Tenants!$I$5)*Tenants!$K$5/12*Tenants!$C$5*Tenants!$H$5*(1+Assumptions!$B$15)^(D$5-1),0)</f>
        <v>-0</v>
      </c>
      <c r="E13" s="36" t="n">
        <f aca="false">-IF(E$5=Tenants!$R$5,(1-Tenants!$I$5)*Tenants!$K$5/12*Tenants!$C$5*Tenants!$H$5*(1+Assumptions!$B$15)^(E$5-1),0)</f>
        <v>-0</v>
      </c>
      <c r="F13" s="36" t="n">
        <f aca="false">-IF(F$5=Tenants!$R$5,(1-Tenants!$I$5)*Tenants!$K$5/12*Tenants!$C$5*Tenants!$H$5*(1+Assumptions!$B$15)^(F$5-1),0)</f>
        <v>-0</v>
      </c>
      <c r="G13" s="36" t="n">
        <f aca="false">-IF(G$5=Tenants!$R$5,(1-Tenants!$I$5)*Tenants!$K$5/12*Tenants!$C$5*Tenants!$H$5*(1+Assumptions!$B$15)^(G$5-1),0)</f>
        <v>-45577.47926095</v>
      </c>
      <c r="H13" s="36" t="n">
        <f aca="false">-IF(H$5=Tenants!$R$5,(1-Tenants!$I$5)*Tenants!$K$5/12*Tenants!$C$5*Tenants!$H$5*(1+Assumptions!$B$15)^(H$5-1),0)</f>
        <v>-0</v>
      </c>
      <c r="I13" s="36" t="n">
        <f aca="false">-IF(I$5=Tenants!$R$5,(1-Tenants!$I$5)*Tenants!$K$5/12*Tenants!$C$5*Tenants!$H$5*(1+Assumptions!$B$15)^(I$5-1),0)</f>
        <v>-0</v>
      </c>
      <c r="J13" s="36" t="n">
        <f aca="false">-IF(J$5=Tenants!$R$5,(1-Tenants!$I$5)*Tenants!$K$5/12*Tenants!$C$5*Tenants!$H$5*(1+Assumptions!$B$15)^(J$5-1),0)</f>
        <v>-0</v>
      </c>
    </row>
    <row r="14" customFormat="false" ht="15" hidden="false" customHeight="false" outlineLevel="0" collapsed="false">
      <c r="A14" s="31" t="s">
        <v>118</v>
      </c>
      <c r="B14" s="32"/>
      <c r="C14" s="37" t="n">
        <f aca="false">SUM(C10:C13)</f>
        <v>436800</v>
      </c>
      <c r="D14" s="37" t="n">
        <f aca="false">SUM(D10:D13)</f>
        <v>449904</v>
      </c>
      <c r="E14" s="37" t="n">
        <f aca="false">SUM(E10:E13)</f>
        <v>463401.12</v>
      </c>
      <c r="F14" s="37" t="n">
        <f aca="false">SUM(F10:F13)</f>
        <v>477303.1536</v>
      </c>
      <c r="G14" s="37" t="n">
        <f aca="false">SUM(G10:G13)</f>
        <v>369521.42495515</v>
      </c>
      <c r="H14" s="37" t="n">
        <f aca="false">SUM(H10:H13)</f>
        <v>536512.04158604</v>
      </c>
      <c r="I14" s="37" t="n">
        <f aca="false">SUM(I10:I13)</f>
        <v>552607.402833621</v>
      </c>
      <c r="J14" s="37" t="n">
        <f aca="false">SUM(J10:J13)</f>
        <v>569185.62491863</v>
      </c>
    </row>
    <row r="15" customFormat="false" ht="15" hidden="false" customHeight="false" outlineLevel="0" collapsed="false">
      <c r="A15" s="5" t="s">
        <v>119</v>
      </c>
      <c r="C15" s="29" t="n">
        <f aca="false">1-IF(C$5=Tenants!$R$5,(1-Tenants!$I$5)*MIN(1-C9,Tenants!$J$5/12),0)</f>
        <v>1</v>
      </c>
      <c r="D15" s="29" t="n">
        <f aca="false">1-IF(D$5=Tenants!$R$5,(1-Tenants!$I$5)*MIN(1-D9,Tenants!$J$5/12),0)</f>
        <v>1</v>
      </c>
      <c r="E15" s="29" t="n">
        <f aca="false">1-IF(E$5=Tenants!$R$5,(1-Tenants!$I$5)*MIN(1-E9,Tenants!$J$5/12),0)</f>
        <v>1</v>
      </c>
      <c r="F15" s="29" t="n">
        <f aca="false">1-IF(F$5=Tenants!$R$5,(1-Tenants!$I$5)*MIN(1-F9,Tenants!$J$5/12),0)</f>
        <v>1</v>
      </c>
      <c r="G15" s="29" t="n">
        <f aca="false">1-IF(G$5=Tenants!$R$5,(1-Tenants!$I$5)*MIN(1-G9,Tenants!$J$5/12),0)</f>
        <v>0.825</v>
      </c>
      <c r="H15" s="29" t="n">
        <f aca="false">1-IF(H$5=Tenants!$R$5,(1-Tenants!$I$5)*MIN(1-H9,Tenants!$J$5/12),0)</f>
        <v>1</v>
      </c>
      <c r="I15" s="29" t="n">
        <f aca="false">1-IF(I$5=Tenants!$R$5,(1-Tenants!$I$5)*MIN(1-I9,Tenants!$J$5/12),0)</f>
        <v>1</v>
      </c>
      <c r="J15" s="29" t="n">
        <f aca="false">1-IF(J$5=Tenants!$R$5,(1-Tenants!$I$5)*MIN(1-J9,Tenants!$J$5/12),0)</f>
        <v>1</v>
      </c>
    </row>
    <row r="16" customFormat="false" ht="15" hidden="false" customHeight="false" outlineLevel="0" collapsed="false">
      <c r="A16" s="5" t="s">
        <v>120</v>
      </c>
      <c r="C16" s="36" t="n">
        <f aca="false">IF(Tenants!$D$5="NNN",Tenants!$Q$5*C$6*C15,Tenants!$Q$5*MAX(0,C$6-$C$6)*C15)</f>
        <v>176800</v>
      </c>
      <c r="D16" s="36" t="n">
        <f aca="false">IF(Tenants!$D$5="NNN",Tenants!$Q$5*D$6*D15,Tenants!$Q$5*MAX(0,D$6-$C$6)*D15)</f>
        <v>182104</v>
      </c>
      <c r="E16" s="36" t="n">
        <f aca="false">IF(Tenants!$D$5="NNN",Tenants!$Q$5*E$6*E15,Tenants!$Q$5*MAX(0,E$6-$C$6)*E15)</f>
        <v>187567.12</v>
      </c>
      <c r="F16" s="36" t="n">
        <f aca="false">IF(Tenants!$D$5="NNN",Tenants!$Q$5*F$6*F15,Tenants!$Q$5*MAX(0,F$6-$C$6)*F15)</f>
        <v>193194.1336</v>
      </c>
      <c r="G16" s="36" t="n">
        <f aca="false">IF(Tenants!$D$5="NNN",Tenants!$Q$5*G$6*G15,Tenants!$Q$5*MAX(0,G$6-$C$6)*G15)</f>
        <v>164166.7150266</v>
      </c>
      <c r="H16" s="36" t="n">
        <f aca="false">IF(Tenants!$D$5="NNN",Tenants!$Q$5*H$6*H15,Tenants!$Q$5*MAX(0,H$6-$C$6)*H15)</f>
        <v>204959.65633624</v>
      </c>
      <c r="I16" s="36" t="n">
        <f aca="false">IF(Tenants!$D$5="NNN",Tenants!$Q$5*I$6*I15,Tenants!$Q$5*MAX(0,I$6-$C$6)*I15)</f>
        <v>211108.446026327</v>
      </c>
      <c r="J16" s="36" t="n">
        <f aca="false">IF(Tenants!$D$5="NNN",Tenants!$Q$5*J$6*J15,Tenants!$Q$5*MAX(0,J$6-$C$6)*J15)</f>
        <v>217441.699407117</v>
      </c>
    </row>
    <row r="17" customFormat="false" ht="15" hidden="false" customHeight="false" outlineLevel="0" collapsed="false">
      <c r="A17" s="5" t="s">
        <v>121</v>
      </c>
      <c r="C17" s="36" t="n">
        <f aca="false">-IF(C$5=Tenants!$R$5,Tenants!$C$5*(Tenants!$I$5*Tenants!$M$5+(1-Tenants!$I$5)*Tenants!$L$5)*(1+Assumptions!$B$15)^(C$5-1),0)</f>
        <v>-0</v>
      </c>
      <c r="D17" s="36" t="n">
        <f aca="false">-IF(D$5=Tenants!$R$5,Tenants!$C$5*(Tenants!$I$5*Tenants!$M$5+(1-Tenants!$I$5)*Tenants!$L$5)*(1+Assumptions!$B$15)^(D$5-1),0)</f>
        <v>-0</v>
      </c>
      <c r="E17" s="36" t="n">
        <f aca="false">-IF(E$5=Tenants!$R$5,Tenants!$C$5*(Tenants!$I$5*Tenants!$M$5+(1-Tenants!$I$5)*Tenants!$L$5)*(1+Assumptions!$B$15)^(E$5-1),0)</f>
        <v>-0</v>
      </c>
      <c r="F17" s="36" t="n">
        <f aca="false">-IF(F$5=Tenants!$R$5,Tenants!$C$5*(Tenants!$I$5*Tenants!$M$5+(1-Tenants!$I$5)*Tenants!$L$5)*(1+Assumptions!$B$15)^(F$5-1),0)</f>
        <v>-0</v>
      </c>
      <c r="G17" s="36" t="n">
        <f aca="false">-IF(G$5=Tenants!$R$5,Tenants!$C$5*(Tenants!$I$5*Tenants!$M$5+(1-Tenants!$I$5)*Tenants!$L$5)*(1+Assumptions!$B$15)^(G$5-1),0)</f>
        <v>-109737.108975</v>
      </c>
      <c r="H17" s="36" t="n">
        <f aca="false">-IF(H$5=Tenants!$R$5,Tenants!$C$5*(Tenants!$I$5*Tenants!$M$5+(1-Tenants!$I$5)*Tenants!$L$5)*(1+Assumptions!$B$15)^(H$5-1),0)</f>
        <v>-0</v>
      </c>
      <c r="I17" s="36" t="n">
        <f aca="false">-IF(I$5=Tenants!$R$5,Tenants!$C$5*(Tenants!$I$5*Tenants!$M$5+(1-Tenants!$I$5)*Tenants!$L$5)*(1+Assumptions!$B$15)^(I$5-1),0)</f>
        <v>-0</v>
      </c>
      <c r="J17" s="36" t="n">
        <f aca="false">-IF(J$5=Tenants!$R$5,Tenants!$C$5*(Tenants!$I$5*Tenants!$M$5+(1-Tenants!$I$5)*Tenants!$L$5)*(1+Assumptions!$B$15)^(J$5-1),0)</f>
        <v>-0</v>
      </c>
    </row>
    <row r="18" customFormat="false" ht="15" hidden="false" customHeight="false" outlineLevel="0" collapsed="false">
      <c r="A18" s="5" t="s">
        <v>122</v>
      </c>
      <c r="C18" s="36" t="n">
        <f aca="false">-IF(C$5=Tenants!$R$5,Tenants!$C$5*Tenants!$H$5*(1+Assumptions!$B$15)^(C$5-1)*Tenants!$P$5*(Tenants!$I$5*Tenants!$O$5+(1-Tenants!$I$5)*Tenants!$N$5),0)</f>
        <v>-0</v>
      </c>
      <c r="D18" s="36" t="n">
        <f aca="false">-IF(D$5=Tenants!$R$5,Tenants!$C$5*Tenants!$H$5*(1+Assumptions!$B$15)^(D$5-1)*Tenants!$P$5*(Tenants!$I$5*Tenants!$O$5+(1-Tenants!$I$5)*Tenants!$N$5),0)</f>
        <v>-0</v>
      </c>
      <c r="E18" s="36" t="n">
        <f aca="false">-IF(E$5=Tenants!$R$5,Tenants!$C$5*Tenants!$H$5*(1+Assumptions!$B$15)^(E$5-1)*Tenants!$P$5*(Tenants!$I$5*Tenants!$O$5+(1-Tenants!$I$5)*Tenants!$N$5),0)</f>
        <v>-0</v>
      </c>
      <c r="F18" s="36" t="n">
        <f aca="false">-IF(F$5=Tenants!$R$5,Tenants!$C$5*Tenants!$H$5*(1+Assumptions!$B$15)^(F$5-1)*Tenants!$P$5*(Tenants!$I$5*Tenants!$O$5+(1-Tenants!$I$5)*Tenants!$N$5),0)</f>
        <v>-0</v>
      </c>
      <c r="G18" s="36" t="n">
        <f aca="false">-IF(G$5=Tenants!$R$5,Tenants!$C$5*Tenants!$H$5*(1+Assumptions!$B$15)^(G$5-1)*Tenants!$P$5*(Tenants!$I$5*Tenants!$O$5+(1-Tenants!$I$5)*Tenants!$N$5),0)</f>
        <v>-105479.30914677</v>
      </c>
      <c r="H18" s="36" t="n">
        <f aca="false">-IF(H$5=Tenants!$R$5,Tenants!$C$5*Tenants!$H$5*(1+Assumptions!$B$15)^(H$5-1)*Tenants!$P$5*(Tenants!$I$5*Tenants!$O$5+(1-Tenants!$I$5)*Tenants!$N$5),0)</f>
        <v>-0</v>
      </c>
      <c r="I18" s="36" t="n">
        <f aca="false">-IF(I$5=Tenants!$R$5,Tenants!$C$5*Tenants!$H$5*(1+Assumptions!$B$15)^(I$5-1)*Tenants!$P$5*(Tenants!$I$5*Tenants!$O$5+(1-Tenants!$I$5)*Tenants!$N$5),0)</f>
        <v>-0</v>
      </c>
      <c r="J18" s="36" t="n">
        <f aca="false">-IF(J$5=Tenants!$R$5,Tenants!$C$5*Tenants!$H$5*(1+Assumptions!$B$15)^(J$5-1)*Tenants!$P$5*(Tenants!$I$5*Tenants!$O$5+(1-Tenants!$I$5)*Tenants!$N$5),0)</f>
        <v>-0</v>
      </c>
    </row>
    <row r="20" customFormat="false" ht="15" hidden="false" customHeight="false" outlineLevel="0" collapsed="false">
      <c r="A20" s="3" t="str">
        <f aca="false">Tenants!A6&amp;"  |  "&amp;Tenants!B6</f>
        <v>Tenant 2  |  Light industrial / flex</v>
      </c>
      <c r="B20" s="4"/>
      <c r="C20" s="4"/>
      <c r="D20" s="4"/>
      <c r="E20" s="4"/>
      <c r="F20" s="4"/>
      <c r="G20" s="4"/>
      <c r="H20" s="4"/>
      <c r="I20" s="4"/>
      <c r="J20" s="4"/>
    </row>
    <row r="21" customFormat="false" ht="15" hidden="false" customHeight="false" outlineLevel="0" collapsed="false">
      <c r="A21" s="5" t="s">
        <v>113</v>
      </c>
      <c r="C21" s="29" t="n">
        <f aca="false">MAX(0,MIN(1,Tenants!$G$6-(C$5-1)))</f>
        <v>1</v>
      </c>
      <c r="D21" s="29" t="n">
        <f aca="false">MAX(0,MIN(1,Tenants!$G$6-(D$5-1)))</f>
        <v>1</v>
      </c>
      <c r="E21" s="29" t="n">
        <f aca="false">MAX(0,MIN(1,Tenants!$G$6-(E$5-1)))</f>
        <v>0</v>
      </c>
      <c r="F21" s="29" t="n">
        <f aca="false">MAX(0,MIN(1,Tenants!$G$6-(F$5-1)))</f>
        <v>0</v>
      </c>
      <c r="G21" s="29" t="n">
        <f aca="false">MAX(0,MIN(1,Tenants!$G$6-(G$5-1)))</f>
        <v>0</v>
      </c>
      <c r="H21" s="29" t="n">
        <f aca="false">MAX(0,MIN(1,Tenants!$G$6-(H$5-1)))</f>
        <v>0</v>
      </c>
      <c r="I21" s="29" t="n">
        <f aca="false">MAX(0,MIN(1,Tenants!$G$6-(I$5-1)))</f>
        <v>0</v>
      </c>
      <c r="J21" s="29" t="n">
        <f aca="false">MAX(0,MIN(1,Tenants!$G$6-(J$5-1)))</f>
        <v>0</v>
      </c>
    </row>
    <row r="22" customFormat="false" ht="15" hidden="false" customHeight="false" outlineLevel="0" collapsed="false">
      <c r="A22" s="5" t="s">
        <v>114</v>
      </c>
      <c r="C22" s="36" t="n">
        <f aca="false">Tenants!$C$6*Tenants!$E$6*(1+Tenants!$F$6)^(C$5-1)*C21</f>
        <v>244800</v>
      </c>
      <c r="D22" s="36" t="n">
        <f aca="false">Tenants!$C$6*Tenants!$E$6*(1+Tenants!$F$6)^(D$5-1)*D21</f>
        <v>252144</v>
      </c>
      <c r="E22" s="36" t="n">
        <f aca="false">Tenants!$C$6*Tenants!$E$6*(1+Tenants!$F$6)^(E$5-1)*E21</f>
        <v>0</v>
      </c>
      <c r="F22" s="36" t="n">
        <f aca="false">Tenants!$C$6*Tenants!$E$6*(1+Tenants!$F$6)^(F$5-1)*F21</f>
        <v>0</v>
      </c>
      <c r="G22" s="36" t="n">
        <f aca="false">Tenants!$C$6*Tenants!$E$6*(1+Tenants!$F$6)^(G$5-1)*G21</f>
        <v>0</v>
      </c>
      <c r="H22" s="36" t="n">
        <f aca="false">Tenants!$C$6*Tenants!$E$6*(1+Tenants!$F$6)^(H$5-1)*H21</f>
        <v>0</v>
      </c>
      <c r="I22" s="36" t="n">
        <f aca="false">Tenants!$C$6*Tenants!$E$6*(1+Tenants!$F$6)^(I$5-1)*I21</f>
        <v>0</v>
      </c>
      <c r="J22" s="36" t="n">
        <f aca="false">Tenants!$C$6*Tenants!$E$6*(1+Tenants!$F$6)^(J$5-1)*J21</f>
        <v>0</v>
      </c>
    </row>
    <row r="23" customFormat="false" ht="15" hidden="false" customHeight="false" outlineLevel="0" collapsed="false">
      <c r="A23" s="5" t="s">
        <v>115</v>
      </c>
      <c r="C23" s="36" t="n">
        <f aca="false">Tenants!$C$6*Tenants!$H$6*(1+Assumptions!$B$15)^(C$5-1)*(1-C21)</f>
        <v>0</v>
      </c>
      <c r="D23" s="36" t="n">
        <f aca="false">Tenants!$C$6*Tenants!$H$6*(1+Assumptions!$B$15)^(D$5-1)*(1-D21)</f>
        <v>0</v>
      </c>
      <c r="E23" s="36" t="n">
        <f aca="false">Tenants!$C$6*Tenants!$H$6*(1+Assumptions!$B$15)^(E$5-1)*(1-E21)</f>
        <v>280077.6</v>
      </c>
      <c r="F23" s="36" t="n">
        <f aca="false">Tenants!$C$6*Tenants!$H$6*(1+Assumptions!$B$15)^(F$5-1)*(1-F21)</f>
        <v>288479.928</v>
      </c>
      <c r="G23" s="36" t="n">
        <f aca="false">Tenants!$C$6*Tenants!$H$6*(1+Assumptions!$B$15)^(G$5-1)*(1-G21)</f>
        <v>297134.32584</v>
      </c>
      <c r="H23" s="36" t="n">
        <f aca="false">Tenants!$C$6*Tenants!$H$6*(1+Assumptions!$B$15)^(H$5-1)*(1-H21)</f>
        <v>306048.3556152</v>
      </c>
      <c r="I23" s="36" t="n">
        <f aca="false">Tenants!$C$6*Tenants!$H$6*(1+Assumptions!$B$15)^(I$5-1)*(1-I21)</f>
        <v>315229.806283656</v>
      </c>
      <c r="J23" s="36" t="n">
        <f aca="false">Tenants!$C$6*Tenants!$H$6*(1+Assumptions!$B$15)^(J$5-1)*(1-J21)</f>
        <v>324686.700472166</v>
      </c>
    </row>
    <row r="24" customFormat="false" ht="15" hidden="false" customHeight="false" outlineLevel="0" collapsed="false">
      <c r="A24" s="5" t="s">
        <v>116</v>
      </c>
      <c r="C24" s="36" t="n">
        <f aca="false">-IF(C$5=Tenants!$R$6,(1-Tenants!$I$6)*MIN(1-C21,Tenants!$J$6/12)*Tenants!$C$6*Tenants!$H$6*(1+Assumptions!$B$15)^(C$5-1),0)</f>
        <v>-0</v>
      </c>
      <c r="D24" s="36" t="n">
        <f aca="false">-IF(D$5=Tenants!$R$6,(1-Tenants!$I$6)*MIN(1-D21,Tenants!$J$6/12)*Tenants!$C$6*Tenants!$H$6*(1+Assumptions!$B$15)^(D$5-1),0)</f>
        <v>-0</v>
      </c>
      <c r="E24" s="36" t="n">
        <f aca="false">-IF(E$5=Tenants!$R$6,(1-Tenants!$I$6)*MIN(1-E21,Tenants!$J$6/12)*Tenants!$C$6*Tenants!$H$6*(1+Assumptions!$B$15)^(E$5-1),0)</f>
        <v>-0</v>
      </c>
      <c r="F24" s="36" t="n">
        <f aca="false">-IF(F$5=Tenants!$R$6,(1-Tenants!$I$6)*MIN(1-F21,Tenants!$J$6/12)*Tenants!$C$6*Tenants!$H$6*(1+Assumptions!$B$15)^(F$5-1),0)</f>
        <v>-0</v>
      </c>
      <c r="G24" s="36" t="n">
        <f aca="false">-IF(G$5=Tenants!$R$6,(1-Tenants!$I$6)*MIN(1-G21,Tenants!$J$6/12)*Tenants!$C$6*Tenants!$H$6*(1+Assumptions!$B$15)^(G$5-1),0)</f>
        <v>-0</v>
      </c>
      <c r="H24" s="36" t="n">
        <f aca="false">-IF(H$5=Tenants!$R$6,(1-Tenants!$I$6)*MIN(1-H21,Tenants!$J$6/12)*Tenants!$C$6*Tenants!$H$6*(1+Assumptions!$B$15)^(H$5-1),0)</f>
        <v>-0</v>
      </c>
      <c r="I24" s="36" t="n">
        <f aca="false">-IF(I$5=Tenants!$R$6,(1-Tenants!$I$6)*MIN(1-I21,Tenants!$J$6/12)*Tenants!$C$6*Tenants!$H$6*(1+Assumptions!$B$15)^(I$5-1),0)</f>
        <v>-0</v>
      </c>
      <c r="J24" s="36" t="n">
        <f aca="false">-IF(J$5=Tenants!$R$6,(1-Tenants!$I$6)*MIN(1-J21,Tenants!$J$6/12)*Tenants!$C$6*Tenants!$H$6*(1+Assumptions!$B$15)^(J$5-1),0)</f>
        <v>-0</v>
      </c>
    </row>
    <row r="25" customFormat="false" ht="15" hidden="false" customHeight="false" outlineLevel="0" collapsed="false">
      <c r="A25" s="5" t="s">
        <v>117</v>
      </c>
      <c r="C25" s="36" t="n">
        <f aca="false">-IF(C$5=Tenants!$R$6,(1-Tenants!$I$6)*Tenants!$K$6/12*Tenants!$C$6*Tenants!$H$6*(1+Assumptions!$B$15)^(C$5-1),0)</f>
        <v>-0</v>
      </c>
      <c r="D25" s="36" t="n">
        <f aca="false">-IF(D$5=Tenants!$R$6,(1-Tenants!$I$6)*Tenants!$K$6/12*Tenants!$C$6*Tenants!$H$6*(1+Assumptions!$B$15)^(D$5-1),0)</f>
        <v>-27192</v>
      </c>
      <c r="E25" s="36" t="n">
        <f aca="false">-IF(E$5=Tenants!$R$6,(1-Tenants!$I$6)*Tenants!$K$6/12*Tenants!$C$6*Tenants!$H$6*(1+Assumptions!$B$15)^(E$5-1),0)</f>
        <v>-0</v>
      </c>
      <c r="F25" s="36" t="n">
        <f aca="false">-IF(F$5=Tenants!$R$6,(1-Tenants!$I$6)*Tenants!$K$6/12*Tenants!$C$6*Tenants!$H$6*(1+Assumptions!$B$15)^(F$5-1),0)</f>
        <v>-0</v>
      </c>
      <c r="G25" s="36" t="n">
        <f aca="false">-IF(G$5=Tenants!$R$6,(1-Tenants!$I$6)*Tenants!$K$6/12*Tenants!$C$6*Tenants!$H$6*(1+Assumptions!$B$15)^(G$5-1),0)</f>
        <v>-0</v>
      </c>
      <c r="H25" s="36" t="n">
        <f aca="false">-IF(H$5=Tenants!$R$6,(1-Tenants!$I$6)*Tenants!$K$6/12*Tenants!$C$6*Tenants!$H$6*(1+Assumptions!$B$15)^(H$5-1),0)</f>
        <v>-0</v>
      </c>
      <c r="I25" s="36" t="n">
        <f aca="false">-IF(I$5=Tenants!$R$6,(1-Tenants!$I$6)*Tenants!$K$6/12*Tenants!$C$6*Tenants!$H$6*(1+Assumptions!$B$15)^(I$5-1),0)</f>
        <v>-0</v>
      </c>
      <c r="J25" s="36" t="n">
        <f aca="false">-IF(J$5=Tenants!$R$6,(1-Tenants!$I$6)*Tenants!$K$6/12*Tenants!$C$6*Tenants!$H$6*(1+Assumptions!$B$15)^(J$5-1),0)</f>
        <v>-0</v>
      </c>
    </row>
    <row r="26" customFormat="false" ht="15" hidden="false" customHeight="false" outlineLevel="0" collapsed="false">
      <c r="A26" s="31" t="s">
        <v>118</v>
      </c>
      <c r="B26" s="32"/>
      <c r="C26" s="37" t="n">
        <f aca="false">SUM(C22:C25)</f>
        <v>244800</v>
      </c>
      <c r="D26" s="37" t="n">
        <f aca="false">SUM(D22:D25)</f>
        <v>224952</v>
      </c>
      <c r="E26" s="37" t="n">
        <f aca="false">SUM(E22:E25)</f>
        <v>280077.6</v>
      </c>
      <c r="F26" s="37" t="n">
        <f aca="false">SUM(F22:F25)</f>
        <v>288479.928</v>
      </c>
      <c r="G26" s="37" t="n">
        <f aca="false">SUM(G22:G25)</f>
        <v>297134.32584</v>
      </c>
      <c r="H26" s="37" t="n">
        <f aca="false">SUM(H22:H25)</f>
        <v>306048.3556152</v>
      </c>
      <c r="I26" s="37" t="n">
        <f aca="false">SUM(I22:I25)</f>
        <v>315229.806283656</v>
      </c>
      <c r="J26" s="37" t="n">
        <f aca="false">SUM(J22:J25)</f>
        <v>324686.700472166</v>
      </c>
    </row>
    <row r="27" customFormat="false" ht="15" hidden="false" customHeight="false" outlineLevel="0" collapsed="false">
      <c r="A27" s="5" t="s">
        <v>119</v>
      </c>
      <c r="C27" s="29" t="n">
        <f aca="false">1-IF(C$5=Tenants!$R$6,(1-Tenants!$I$6)*MIN(1-C21,Tenants!$J$6/12),0)</f>
        <v>1</v>
      </c>
      <c r="D27" s="29" t="n">
        <f aca="false">1-IF(D$5=Tenants!$R$6,(1-Tenants!$I$6)*MIN(1-D21,Tenants!$J$6/12),0)</f>
        <v>1</v>
      </c>
      <c r="E27" s="29" t="n">
        <f aca="false">1-IF(E$5=Tenants!$R$6,(1-Tenants!$I$6)*MIN(1-E21,Tenants!$J$6/12),0)</f>
        <v>1</v>
      </c>
      <c r="F27" s="29" t="n">
        <f aca="false">1-IF(F$5=Tenants!$R$6,(1-Tenants!$I$6)*MIN(1-F21,Tenants!$J$6/12),0)</f>
        <v>1</v>
      </c>
      <c r="G27" s="29" t="n">
        <f aca="false">1-IF(G$5=Tenants!$R$6,(1-Tenants!$I$6)*MIN(1-G21,Tenants!$J$6/12),0)</f>
        <v>1</v>
      </c>
      <c r="H27" s="29" t="n">
        <f aca="false">1-IF(H$5=Tenants!$R$6,(1-Tenants!$I$6)*MIN(1-H21,Tenants!$J$6/12),0)</f>
        <v>1</v>
      </c>
      <c r="I27" s="29" t="n">
        <f aca="false">1-IF(I$5=Tenants!$R$6,(1-Tenants!$I$6)*MIN(1-I21,Tenants!$J$6/12),0)</f>
        <v>1</v>
      </c>
      <c r="J27" s="29" t="n">
        <f aca="false">1-IF(J$5=Tenants!$R$6,(1-Tenants!$I$6)*MIN(1-J21,Tenants!$J$6/12),0)</f>
        <v>1</v>
      </c>
    </row>
    <row r="28" customFormat="false" ht="15" hidden="false" customHeight="false" outlineLevel="0" collapsed="false">
      <c r="A28" s="5" t="s">
        <v>120</v>
      </c>
      <c r="C28" s="36" t="n">
        <f aca="false">IF(Tenants!$D$6="NNN",Tenants!$Q$6*C$6*C27,Tenants!$Q$6*MAX(0,C$6-$C$6)*C27)</f>
        <v>81600</v>
      </c>
      <c r="D28" s="36" t="n">
        <f aca="false">IF(Tenants!$D$6="NNN",Tenants!$Q$6*D$6*D27,Tenants!$Q$6*MAX(0,D$6-$C$6)*D27)</f>
        <v>84048</v>
      </c>
      <c r="E28" s="36" t="n">
        <f aca="false">IF(Tenants!$D$6="NNN",Tenants!$Q$6*E$6*E27,Tenants!$Q$6*MAX(0,E$6-$C$6)*E27)</f>
        <v>86569.44</v>
      </c>
      <c r="F28" s="36" t="n">
        <f aca="false">IF(Tenants!$D$6="NNN",Tenants!$Q$6*F$6*F27,Tenants!$Q$6*MAX(0,F$6-$C$6)*F27)</f>
        <v>89166.5232</v>
      </c>
      <c r="G28" s="36" t="n">
        <f aca="false">IF(Tenants!$D$6="NNN",Tenants!$Q$6*G$6*G27,Tenants!$Q$6*MAX(0,G$6-$C$6)*G27)</f>
        <v>91841.518896</v>
      </c>
      <c r="H28" s="36" t="n">
        <f aca="false">IF(Tenants!$D$6="NNN",Tenants!$Q$6*H$6*H27,Tenants!$Q$6*MAX(0,H$6-$C$6)*H27)</f>
        <v>94596.76446288</v>
      </c>
      <c r="I28" s="36" t="n">
        <f aca="false">IF(Tenants!$D$6="NNN",Tenants!$Q$6*I$6*I27,Tenants!$Q$6*MAX(0,I$6-$C$6)*I27)</f>
        <v>97434.6673967664</v>
      </c>
      <c r="J28" s="36" t="n">
        <f aca="false">IF(Tenants!$D$6="NNN",Tenants!$Q$6*J$6*J27,Tenants!$Q$6*MAX(0,J$6-$C$6)*J27)</f>
        <v>100357.707418669</v>
      </c>
    </row>
    <row r="29" customFormat="false" ht="15" hidden="false" customHeight="false" outlineLevel="0" collapsed="false">
      <c r="A29" s="5" t="s">
        <v>121</v>
      </c>
      <c r="C29" s="36" t="n">
        <f aca="false">-IF(C$5=Tenants!$R$6,Tenants!$C$6*(Tenants!$I$6*Tenants!$M$6+(1-Tenants!$I$6)*Tenants!$L$6)*(1+Assumptions!$B$15)^(C$5-1),0)</f>
        <v>-0</v>
      </c>
      <c r="D29" s="36" t="n">
        <f aca="false">-IF(D$5=Tenants!$R$6,Tenants!$C$6*(Tenants!$I$6*Tenants!$M$6+(1-Tenants!$I$6)*Tenants!$L$6)*(1+Assumptions!$B$15)^(D$5-1),0)</f>
        <v>-58092</v>
      </c>
      <c r="E29" s="36" t="n">
        <f aca="false">-IF(E$5=Tenants!$R$6,Tenants!$C$6*(Tenants!$I$6*Tenants!$M$6+(1-Tenants!$I$6)*Tenants!$L$6)*(1+Assumptions!$B$15)^(E$5-1),0)</f>
        <v>-0</v>
      </c>
      <c r="F29" s="36" t="n">
        <f aca="false">-IF(F$5=Tenants!$R$6,Tenants!$C$6*(Tenants!$I$6*Tenants!$M$6+(1-Tenants!$I$6)*Tenants!$L$6)*(1+Assumptions!$B$15)^(F$5-1),0)</f>
        <v>-0</v>
      </c>
      <c r="G29" s="36" t="n">
        <f aca="false">-IF(G$5=Tenants!$R$6,Tenants!$C$6*(Tenants!$I$6*Tenants!$M$6+(1-Tenants!$I$6)*Tenants!$L$6)*(1+Assumptions!$B$15)^(G$5-1),0)</f>
        <v>-0</v>
      </c>
      <c r="H29" s="36" t="n">
        <f aca="false">-IF(H$5=Tenants!$R$6,Tenants!$C$6*(Tenants!$I$6*Tenants!$M$6+(1-Tenants!$I$6)*Tenants!$L$6)*(1+Assumptions!$B$15)^(H$5-1),0)</f>
        <v>-0</v>
      </c>
      <c r="I29" s="36" t="n">
        <f aca="false">-IF(I$5=Tenants!$R$6,Tenants!$C$6*(Tenants!$I$6*Tenants!$M$6+(1-Tenants!$I$6)*Tenants!$L$6)*(1+Assumptions!$B$15)^(I$5-1),0)</f>
        <v>-0</v>
      </c>
      <c r="J29" s="36" t="n">
        <f aca="false">-IF(J$5=Tenants!$R$6,Tenants!$C$6*(Tenants!$I$6*Tenants!$M$6+(1-Tenants!$I$6)*Tenants!$L$6)*(1+Assumptions!$B$15)^(J$5-1),0)</f>
        <v>-0</v>
      </c>
    </row>
    <row r="30" customFormat="false" ht="15" hidden="false" customHeight="false" outlineLevel="0" collapsed="false">
      <c r="A30" s="5" t="s">
        <v>122</v>
      </c>
      <c r="C30" s="36" t="n">
        <f aca="false">-IF(C$5=Tenants!$R$6,Tenants!$C$6*Tenants!$H$6*(1+Assumptions!$B$15)^(C$5-1)*Tenants!$P$6*(Tenants!$I$6*Tenants!$O$6+(1-Tenants!$I$6)*Tenants!$N$6),0)</f>
        <v>-0</v>
      </c>
      <c r="D30" s="36" t="n">
        <f aca="false">-IF(D$5=Tenants!$R$6,Tenants!$C$6*Tenants!$H$6*(1+Assumptions!$B$15)^(D$5-1)*Tenants!$P$6*(Tenants!$I$6*Tenants!$O$6+(1-Tenants!$I$6)*Tenants!$N$6),0)</f>
        <v>-57103.2</v>
      </c>
      <c r="E30" s="36" t="n">
        <f aca="false">-IF(E$5=Tenants!$R$6,Tenants!$C$6*Tenants!$H$6*(1+Assumptions!$B$15)^(E$5-1)*Tenants!$P$6*(Tenants!$I$6*Tenants!$O$6+(1-Tenants!$I$6)*Tenants!$N$6),0)</f>
        <v>-0</v>
      </c>
      <c r="F30" s="36" t="n">
        <f aca="false">-IF(F$5=Tenants!$R$6,Tenants!$C$6*Tenants!$H$6*(1+Assumptions!$B$15)^(F$5-1)*Tenants!$P$6*(Tenants!$I$6*Tenants!$O$6+(1-Tenants!$I$6)*Tenants!$N$6),0)</f>
        <v>-0</v>
      </c>
      <c r="G30" s="36" t="n">
        <f aca="false">-IF(G$5=Tenants!$R$6,Tenants!$C$6*Tenants!$H$6*(1+Assumptions!$B$15)^(G$5-1)*Tenants!$P$6*(Tenants!$I$6*Tenants!$O$6+(1-Tenants!$I$6)*Tenants!$N$6),0)</f>
        <v>-0</v>
      </c>
      <c r="H30" s="36" t="n">
        <f aca="false">-IF(H$5=Tenants!$R$6,Tenants!$C$6*Tenants!$H$6*(1+Assumptions!$B$15)^(H$5-1)*Tenants!$P$6*(Tenants!$I$6*Tenants!$O$6+(1-Tenants!$I$6)*Tenants!$N$6),0)</f>
        <v>-0</v>
      </c>
      <c r="I30" s="36" t="n">
        <f aca="false">-IF(I$5=Tenants!$R$6,Tenants!$C$6*Tenants!$H$6*(1+Assumptions!$B$15)^(I$5-1)*Tenants!$P$6*(Tenants!$I$6*Tenants!$O$6+(1-Tenants!$I$6)*Tenants!$N$6),0)</f>
        <v>-0</v>
      </c>
      <c r="J30" s="36" t="n">
        <f aca="false">-IF(J$5=Tenants!$R$6,Tenants!$C$6*Tenants!$H$6*(1+Assumptions!$B$15)^(J$5-1)*Tenants!$P$6*(Tenants!$I$6*Tenants!$O$6+(1-Tenants!$I$6)*Tenants!$N$6),0)</f>
        <v>-0</v>
      </c>
    </row>
    <row r="32" customFormat="false" ht="15" hidden="false" customHeight="false" outlineLevel="0" collapsed="false">
      <c r="A32" s="3" t="str">
        <f aca="false">Tenants!A7&amp;"  |  "&amp;Tenants!B7</f>
        <v>Tenant 3  |  Retail anchor (grocery)</v>
      </c>
      <c r="B32" s="4"/>
      <c r="C32" s="4"/>
      <c r="D32" s="4"/>
      <c r="E32" s="4"/>
      <c r="F32" s="4"/>
      <c r="G32" s="4"/>
      <c r="H32" s="4"/>
      <c r="I32" s="4"/>
      <c r="J32" s="4"/>
    </row>
    <row r="33" customFormat="false" ht="15" hidden="false" customHeight="false" outlineLevel="0" collapsed="false">
      <c r="A33" s="5" t="s">
        <v>113</v>
      </c>
      <c r="C33" s="29" t="n">
        <f aca="false">MAX(0,MIN(1,Tenants!$G$7-(C$5-1)))</f>
        <v>1</v>
      </c>
      <c r="D33" s="29" t="n">
        <f aca="false">MAX(0,MIN(1,Tenants!$G$7-(D$5-1)))</f>
        <v>1</v>
      </c>
      <c r="E33" s="29" t="n">
        <f aca="false">MAX(0,MIN(1,Tenants!$G$7-(E$5-1)))</f>
        <v>1</v>
      </c>
      <c r="F33" s="29" t="n">
        <f aca="false">MAX(0,MIN(1,Tenants!$G$7-(F$5-1)))</f>
        <v>1</v>
      </c>
      <c r="G33" s="29" t="n">
        <f aca="false">MAX(0,MIN(1,Tenants!$G$7-(G$5-1)))</f>
        <v>1</v>
      </c>
      <c r="H33" s="29" t="n">
        <f aca="false">MAX(0,MIN(1,Tenants!$G$7-(H$5-1)))</f>
        <v>1</v>
      </c>
      <c r="I33" s="29" t="n">
        <f aca="false">MAX(0,MIN(1,Tenants!$G$7-(I$5-1)))</f>
        <v>1</v>
      </c>
      <c r="J33" s="29" t="n">
        <f aca="false">MAX(0,MIN(1,Tenants!$G$7-(J$5-1)))</f>
        <v>0</v>
      </c>
    </row>
    <row r="34" customFormat="false" ht="15" hidden="false" customHeight="false" outlineLevel="0" collapsed="false">
      <c r="A34" s="5" t="s">
        <v>114</v>
      </c>
      <c r="C34" s="36" t="n">
        <f aca="false">Tenants!$C$7*Tenants!$E$7*(1+Tenants!$F$7)^(C$5-1)*C33</f>
        <v>406000</v>
      </c>
      <c r="D34" s="36" t="n">
        <f aca="false">Tenants!$C$7*Tenants!$E$7*(1+Tenants!$F$7)^(D$5-1)*D33</f>
        <v>414120</v>
      </c>
      <c r="E34" s="36" t="n">
        <f aca="false">Tenants!$C$7*Tenants!$E$7*(1+Tenants!$F$7)^(E$5-1)*E33</f>
        <v>422402.4</v>
      </c>
      <c r="F34" s="36" t="n">
        <f aca="false">Tenants!$C$7*Tenants!$E$7*(1+Tenants!$F$7)^(F$5-1)*F33</f>
        <v>430850.448</v>
      </c>
      <c r="G34" s="36" t="n">
        <f aca="false">Tenants!$C$7*Tenants!$E$7*(1+Tenants!$F$7)^(G$5-1)*G33</f>
        <v>439467.45696</v>
      </c>
      <c r="H34" s="36" t="n">
        <f aca="false">Tenants!$C$7*Tenants!$E$7*(1+Tenants!$F$7)^(H$5-1)*H33</f>
        <v>448256.8060992</v>
      </c>
      <c r="I34" s="36" t="n">
        <f aca="false">Tenants!$C$7*Tenants!$E$7*(1+Tenants!$F$7)^(I$5-1)*I33</f>
        <v>457221.942221184</v>
      </c>
      <c r="J34" s="36" t="n">
        <f aca="false">Tenants!$C$7*Tenants!$E$7*(1+Tenants!$F$7)^(J$5-1)*J33</f>
        <v>0</v>
      </c>
    </row>
    <row r="35" customFormat="false" ht="15" hidden="false" customHeight="false" outlineLevel="0" collapsed="false">
      <c r="A35" s="5" t="s">
        <v>115</v>
      </c>
      <c r="C35" s="36" t="n">
        <f aca="false">Tenants!$C$7*Tenants!$H$7*(1+Assumptions!$B$15)^(C$5-1)*(1-C33)</f>
        <v>0</v>
      </c>
      <c r="D35" s="36" t="n">
        <f aca="false">Tenants!$C$7*Tenants!$H$7*(1+Assumptions!$B$15)^(D$5-1)*(1-D33)</f>
        <v>0</v>
      </c>
      <c r="E35" s="36" t="n">
        <f aca="false">Tenants!$C$7*Tenants!$H$7*(1+Assumptions!$B$15)^(E$5-1)*(1-E33)</f>
        <v>0</v>
      </c>
      <c r="F35" s="36" t="n">
        <f aca="false">Tenants!$C$7*Tenants!$H$7*(1+Assumptions!$B$15)^(F$5-1)*(1-F33)</f>
        <v>0</v>
      </c>
      <c r="G35" s="36" t="n">
        <f aca="false">Tenants!$C$7*Tenants!$H$7*(1+Assumptions!$B$15)^(G$5-1)*(1-G33)</f>
        <v>0</v>
      </c>
      <c r="H35" s="36" t="n">
        <f aca="false">Tenants!$C$7*Tenants!$H$7*(1+Assumptions!$B$15)^(H$5-1)*(1-H33)</f>
        <v>0</v>
      </c>
      <c r="I35" s="36" t="n">
        <f aca="false">Tenants!$C$7*Tenants!$H$7*(1+Assumptions!$B$15)^(I$5-1)*(1-I33)</f>
        <v>0</v>
      </c>
      <c r="J35" s="36" t="n">
        <f aca="false">Tenants!$C$7*Tenants!$H$7*(1+Assumptions!$B$15)^(J$5-1)*(1-J33)</f>
        <v>533765.257594394</v>
      </c>
    </row>
    <row r="36" customFormat="false" ht="15" hidden="false" customHeight="false" outlineLevel="0" collapsed="false">
      <c r="A36" s="5" t="s">
        <v>116</v>
      </c>
      <c r="C36" s="36" t="n">
        <f aca="false">-IF(C$5=Tenants!$R$7,(1-Tenants!$I$7)*MIN(1-C33,Tenants!$J$7/12)*Tenants!$C$7*Tenants!$H$7*(1+Assumptions!$B$15)^(C$5-1),0)</f>
        <v>-0</v>
      </c>
      <c r="D36" s="36" t="n">
        <f aca="false">-IF(D$5=Tenants!$R$7,(1-Tenants!$I$7)*MIN(1-D33,Tenants!$J$7/12)*Tenants!$C$7*Tenants!$H$7*(1+Assumptions!$B$15)^(D$5-1),0)</f>
        <v>-0</v>
      </c>
      <c r="E36" s="36" t="n">
        <f aca="false">-IF(E$5=Tenants!$R$7,(1-Tenants!$I$7)*MIN(1-E33,Tenants!$J$7/12)*Tenants!$C$7*Tenants!$H$7*(1+Assumptions!$B$15)^(E$5-1),0)</f>
        <v>-0</v>
      </c>
      <c r="F36" s="36" t="n">
        <f aca="false">-IF(F$5=Tenants!$R$7,(1-Tenants!$I$7)*MIN(1-F33,Tenants!$J$7/12)*Tenants!$C$7*Tenants!$H$7*(1+Assumptions!$B$15)^(F$5-1),0)</f>
        <v>-0</v>
      </c>
      <c r="G36" s="36" t="n">
        <f aca="false">-IF(G$5=Tenants!$R$7,(1-Tenants!$I$7)*MIN(1-G33,Tenants!$J$7/12)*Tenants!$C$7*Tenants!$H$7*(1+Assumptions!$B$15)^(G$5-1),0)</f>
        <v>-0</v>
      </c>
      <c r="H36" s="36" t="n">
        <f aca="false">-IF(H$5=Tenants!$R$7,(1-Tenants!$I$7)*MIN(1-H33,Tenants!$J$7/12)*Tenants!$C$7*Tenants!$H$7*(1+Assumptions!$B$15)^(H$5-1),0)</f>
        <v>-0</v>
      </c>
      <c r="I36" s="36" t="n">
        <f aca="false">-IF(I$5=Tenants!$R$7,(1-Tenants!$I$7)*MIN(1-I33,Tenants!$J$7/12)*Tenants!$C$7*Tenants!$H$7*(1+Assumptions!$B$15)^(I$5-1),0)</f>
        <v>-0</v>
      </c>
      <c r="J36" s="36" t="n">
        <f aca="false">-IF(J$5=Tenants!$R$7,(1-Tenants!$I$7)*MIN(1-J33,Tenants!$J$7/12)*Tenants!$C$7*Tenants!$H$7*(1+Assumptions!$B$15)^(J$5-1),0)</f>
        <v>-0</v>
      </c>
    </row>
    <row r="37" customFormat="false" ht="15" hidden="false" customHeight="false" outlineLevel="0" collapsed="false">
      <c r="A37" s="5" t="s">
        <v>117</v>
      </c>
      <c r="C37" s="36" t="n">
        <f aca="false">-IF(C$5=Tenants!$R$7,(1-Tenants!$I$7)*Tenants!$K$7/12*Tenants!$C$7*Tenants!$H$7*(1+Assumptions!$B$15)^(C$5-1),0)</f>
        <v>-0</v>
      </c>
      <c r="D37" s="36" t="n">
        <f aca="false">-IF(D$5=Tenants!$R$7,(1-Tenants!$I$7)*Tenants!$K$7/12*Tenants!$C$7*Tenants!$H$7*(1+Assumptions!$B$15)^(D$5-1),0)</f>
        <v>-0</v>
      </c>
      <c r="E37" s="36" t="n">
        <f aca="false">-IF(E$5=Tenants!$R$7,(1-Tenants!$I$7)*Tenants!$K$7/12*Tenants!$C$7*Tenants!$H$7*(1+Assumptions!$B$15)^(E$5-1),0)</f>
        <v>-0</v>
      </c>
      <c r="F37" s="36" t="n">
        <f aca="false">-IF(F$5=Tenants!$R$7,(1-Tenants!$I$7)*Tenants!$K$7/12*Tenants!$C$7*Tenants!$H$7*(1+Assumptions!$B$15)^(F$5-1),0)</f>
        <v>-0</v>
      </c>
      <c r="G37" s="36" t="n">
        <f aca="false">-IF(G$5=Tenants!$R$7,(1-Tenants!$I$7)*Tenants!$K$7/12*Tenants!$C$7*Tenants!$H$7*(1+Assumptions!$B$15)^(G$5-1),0)</f>
        <v>-0</v>
      </c>
      <c r="H37" s="36" t="n">
        <f aca="false">-IF(H$5=Tenants!$R$7,(1-Tenants!$I$7)*Tenants!$K$7/12*Tenants!$C$7*Tenants!$H$7*(1+Assumptions!$B$15)^(H$5-1),0)</f>
        <v>-0</v>
      </c>
      <c r="I37" s="36" t="n">
        <f aca="false">-IF(I$5=Tenants!$R$7,(1-Tenants!$I$7)*Tenants!$K$7/12*Tenants!$C$7*Tenants!$H$7*(1+Assumptions!$B$15)^(I$5-1),0)</f>
        <v>-34547.9131129057</v>
      </c>
      <c r="J37" s="36" t="n">
        <f aca="false">-IF(J$5=Tenants!$R$7,(1-Tenants!$I$7)*Tenants!$K$7/12*Tenants!$C$7*Tenants!$H$7*(1+Assumptions!$B$15)^(J$5-1),0)</f>
        <v>-0</v>
      </c>
    </row>
    <row r="38" customFormat="false" ht="15" hidden="false" customHeight="false" outlineLevel="0" collapsed="false">
      <c r="A38" s="31" t="s">
        <v>118</v>
      </c>
      <c r="B38" s="32"/>
      <c r="C38" s="37" t="n">
        <f aca="false">SUM(C34:C37)</f>
        <v>406000</v>
      </c>
      <c r="D38" s="37" t="n">
        <f aca="false">SUM(D34:D37)</f>
        <v>414120</v>
      </c>
      <c r="E38" s="37" t="n">
        <f aca="false">SUM(E34:E37)</f>
        <v>422402.4</v>
      </c>
      <c r="F38" s="37" t="n">
        <f aca="false">SUM(F34:F37)</f>
        <v>430850.448</v>
      </c>
      <c r="G38" s="37" t="n">
        <f aca="false">SUM(G34:G37)</f>
        <v>439467.45696</v>
      </c>
      <c r="H38" s="37" t="n">
        <f aca="false">SUM(H34:H37)</f>
        <v>448256.8060992</v>
      </c>
      <c r="I38" s="37" t="n">
        <f aca="false">SUM(I34:I37)</f>
        <v>422674.029108278</v>
      </c>
      <c r="J38" s="37" t="n">
        <f aca="false">SUM(J34:J37)</f>
        <v>533765.257594394</v>
      </c>
    </row>
    <row r="39" customFormat="false" ht="15" hidden="false" customHeight="false" outlineLevel="0" collapsed="false">
      <c r="A39" s="5" t="s">
        <v>119</v>
      </c>
      <c r="C39" s="29" t="n">
        <f aca="false">1-IF(C$5=Tenants!$R$7,(1-Tenants!$I$7)*MIN(1-C33,Tenants!$J$7/12),0)</f>
        <v>1</v>
      </c>
      <c r="D39" s="29" t="n">
        <f aca="false">1-IF(D$5=Tenants!$R$7,(1-Tenants!$I$7)*MIN(1-D33,Tenants!$J$7/12),0)</f>
        <v>1</v>
      </c>
      <c r="E39" s="29" t="n">
        <f aca="false">1-IF(E$5=Tenants!$R$7,(1-Tenants!$I$7)*MIN(1-E33,Tenants!$J$7/12),0)</f>
        <v>1</v>
      </c>
      <c r="F39" s="29" t="n">
        <f aca="false">1-IF(F$5=Tenants!$R$7,(1-Tenants!$I$7)*MIN(1-F33,Tenants!$J$7/12),0)</f>
        <v>1</v>
      </c>
      <c r="G39" s="29" t="n">
        <f aca="false">1-IF(G$5=Tenants!$R$7,(1-Tenants!$I$7)*MIN(1-G33,Tenants!$J$7/12),0)</f>
        <v>1</v>
      </c>
      <c r="H39" s="29" t="n">
        <f aca="false">1-IF(H$5=Tenants!$R$7,(1-Tenants!$I$7)*MIN(1-H33,Tenants!$J$7/12),0)</f>
        <v>1</v>
      </c>
      <c r="I39" s="29" t="n">
        <f aca="false">1-IF(I$5=Tenants!$R$7,(1-Tenants!$I$7)*MIN(1-I33,Tenants!$J$7/12),0)</f>
        <v>1</v>
      </c>
      <c r="J39" s="29" t="n">
        <f aca="false">1-IF(J$5=Tenants!$R$7,(1-Tenants!$I$7)*MIN(1-J33,Tenants!$J$7/12),0)</f>
        <v>1</v>
      </c>
    </row>
    <row r="40" customFormat="false" ht="15" hidden="false" customHeight="false" outlineLevel="0" collapsed="false">
      <c r="A40" s="5" t="s">
        <v>120</v>
      </c>
      <c r="C40" s="36" t="n">
        <f aca="false">IF(Tenants!$D$7="NNN",Tenants!$Q$7*C$6*C39,Tenants!$Q$7*MAX(0,C$6-$C$6)*C39)</f>
        <v>95200</v>
      </c>
      <c r="D40" s="36" t="n">
        <f aca="false">IF(Tenants!$D$7="NNN",Tenants!$Q$7*D$6*D39,Tenants!$Q$7*MAX(0,D$6-$C$6)*D39)</f>
        <v>98056</v>
      </c>
      <c r="E40" s="36" t="n">
        <f aca="false">IF(Tenants!$D$7="NNN",Tenants!$Q$7*E$6*E39,Tenants!$Q$7*MAX(0,E$6-$C$6)*E39)</f>
        <v>100997.68</v>
      </c>
      <c r="F40" s="36" t="n">
        <f aca="false">IF(Tenants!$D$7="NNN",Tenants!$Q$7*F$6*F39,Tenants!$Q$7*MAX(0,F$6-$C$6)*F39)</f>
        <v>104027.6104</v>
      </c>
      <c r="G40" s="36" t="n">
        <f aca="false">IF(Tenants!$D$7="NNN",Tenants!$Q$7*G$6*G39,Tenants!$Q$7*MAX(0,G$6-$C$6)*G39)</f>
        <v>107148.438712</v>
      </c>
      <c r="H40" s="36" t="n">
        <f aca="false">IF(Tenants!$D$7="NNN",Tenants!$Q$7*H$6*H39,Tenants!$Q$7*MAX(0,H$6-$C$6)*H39)</f>
        <v>110362.89187336</v>
      </c>
      <c r="I40" s="36" t="n">
        <f aca="false">IF(Tenants!$D$7="NNN",Tenants!$Q$7*I$6*I39,Tenants!$Q$7*MAX(0,I$6-$C$6)*I39)</f>
        <v>113673.778629561</v>
      </c>
      <c r="J40" s="36" t="n">
        <f aca="false">IF(Tenants!$D$7="NNN",Tenants!$Q$7*J$6*J39,Tenants!$Q$7*MAX(0,J$6-$C$6)*J39)</f>
        <v>117083.991988448</v>
      </c>
    </row>
    <row r="41" customFormat="false" ht="15" hidden="false" customHeight="false" outlineLevel="0" collapsed="false">
      <c r="A41" s="5" t="s">
        <v>121</v>
      </c>
      <c r="C41" s="36" t="n">
        <f aca="false">-IF(C$5=Tenants!$R$7,Tenants!$C$7*(Tenants!$I$7*Tenants!$M$7+(1-Tenants!$I$7)*Tenants!$L$7)*(1+Assumptions!$B$15)^(C$5-1),0)</f>
        <v>-0</v>
      </c>
      <c r="D41" s="36" t="n">
        <f aca="false">-IF(D$5=Tenants!$R$7,Tenants!$C$7*(Tenants!$I$7*Tenants!$M$7+(1-Tenants!$I$7)*Tenants!$L$7)*(1+Assumptions!$B$15)^(D$5-1),0)</f>
        <v>-0</v>
      </c>
      <c r="E41" s="36" t="n">
        <f aca="false">-IF(E$5=Tenants!$R$7,Tenants!$C$7*(Tenants!$I$7*Tenants!$M$7+(1-Tenants!$I$7)*Tenants!$L$7)*(1+Assumptions!$B$15)^(E$5-1),0)</f>
        <v>-0</v>
      </c>
      <c r="F41" s="36" t="n">
        <f aca="false">-IF(F$5=Tenants!$R$7,Tenants!$C$7*(Tenants!$I$7*Tenants!$M$7+(1-Tenants!$I$7)*Tenants!$L$7)*(1+Assumptions!$B$15)^(F$5-1),0)</f>
        <v>-0</v>
      </c>
      <c r="G41" s="36" t="n">
        <f aca="false">-IF(G$5=Tenants!$R$7,Tenants!$C$7*(Tenants!$I$7*Tenants!$M$7+(1-Tenants!$I$7)*Tenants!$L$7)*(1+Assumptions!$B$15)^(G$5-1),0)</f>
        <v>-0</v>
      </c>
      <c r="H41" s="36" t="n">
        <f aca="false">-IF(H$5=Tenants!$R$7,Tenants!$C$7*(Tenants!$I$7*Tenants!$M$7+(1-Tenants!$I$7)*Tenants!$L$7)*(1+Assumptions!$B$15)^(H$5-1),0)</f>
        <v>-0</v>
      </c>
      <c r="I41" s="36" t="n">
        <f aca="false">-IF(I$5=Tenants!$R$7,Tenants!$C$7*(Tenants!$I$7*Tenants!$M$7+(1-Tenants!$I$7)*Tenants!$L$7)*(1+Assumptions!$B$15)^(I$5-1),0)</f>
        <v>-106987.085768998</v>
      </c>
      <c r="J41" s="36" t="n">
        <f aca="false">-IF(J$5=Tenants!$R$7,Tenants!$C$7*(Tenants!$I$7*Tenants!$M$7+(1-Tenants!$I$7)*Tenants!$L$7)*(1+Assumptions!$B$15)^(J$5-1),0)</f>
        <v>-0</v>
      </c>
    </row>
    <row r="42" customFormat="false" ht="15" hidden="false" customHeight="false" outlineLevel="0" collapsed="false">
      <c r="A42" s="5" t="s">
        <v>122</v>
      </c>
      <c r="C42" s="36" t="n">
        <f aca="false">-IF(C$5=Tenants!$R$7,Tenants!$C$7*Tenants!$H$7*(1+Assumptions!$B$15)^(C$5-1)*Tenants!$P$7*(Tenants!$I$7*Tenants!$O$7+(1-Tenants!$I$7)*Tenants!$N$7),0)</f>
        <v>-0</v>
      </c>
      <c r="D42" s="36" t="n">
        <f aca="false">-IF(D$5=Tenants!$R$7,Tenants!$C$7*Tenants!$H$7*(1+Assumptions!$B$15)^(D$5-1)*Tenants!$P$7*(Tenants!$I$7*Tenants!$O$7+(1-Tenants!$I$7)*Tenants!$N$7),0)</f>
        <v>-0</v>
      </c>
      <c r="E42" s="36" t="n">
        <f aca="false">-IF(E$5=Tenants!$R$7,Tenants!$C$7*Tenants!$H$7*(1+Assumptions!$B$15)^(E$5-1)*Tenants!$P$7*(Tenants!$I$7*Tenants!$O$7+(1-Tenants!$I$7)*Tenants!$N$7),0)</f>
        <v>-0</v>
      </c>
      <c r="F42" s="36" t="n">
        <f aca="false">-IF(F$5=Tenants!$R$7,Tenants!$C$7*Tenants!$H$7*(1+Assumptions!$B$15)^(F$5-1)*Tenants!$P$7*(Tenants!$I$7*Tenants!$O$7+(1-Tenants!$I$7)*Tenants!$N$7),0)</f>
        <v>-0</v>
      </c>
      <c r="G42" s="36" t="n">
        <f aca="false">-IF(G$5=Tenants!$R$7,Tenants!$C$7*Tenants!$H$7*(1+Assumptions!$B$15)^(G$5-1)*Tenants!$P$7*(Tenants!$I$7*Tenants!$O$7+(1-Tenants!$I$7)*Tenants!$N$7),0)</f>
        <v>-0</v>
      </c>
      <c r="H42" s="36" t="n">
        <f aca="false">-IF(H$5=Tenants!$R$7,Tenants!$C$7*Tenants!$H$7*(1+Assumptions!$B$15)^(H$5-1)*Tenants!$P$7*(Tenants!$I$7*Tenants!$O$7+(1-Tenants!$I$7)*Tenants!$N$7),0)</f>
        <v>-0</v>
      </c>
      <c r="I42" s="36" t="n">
        <f aca="false">-IF(I$5=Tenants!$R$7,Tenants!$C$7*Tenants!$H$7*(1+Assumptions!$B$15)^(I$5-1)*Tenants!$P$7*(Tenants!$I$7*Tenants!$O$7+(1-Tenants!$I$7)*Tenants!$N$7),0)</f>
        <v>-155465.609008076</v>
      </c>
      <c r="J42" s="36" t="n">
        <f aca="false">-IF(J$5=Tenants!$R$7,Tenants!$C$7*Tenants!$H$7*(1+Assumptions!$B$15)^(J$5-1)*Tenants!$P$7*(Tenants!$I$7*Tenants!$O$7+(1-Tenants!$I$7)*Tenants!$N$7),0)</f>
        <v>-0</v>
      </c>
    </row>
    <row r="44" customFormat="false" ht="15" hidden="false" customHeight="false" outlineLevel="0" collapsed="false">
      <c r="A44" s="3" t="str">
        <f aca="false">Tenants!A8&amp;"  |  "&amp;Tenants!B8</f>
        <v>Tenant 4  |  Retail inline (restaurant)</v>
      </c>
      <c r="B44" s="4"/>
      <c r="C44" s="4"/>
      <c r="D44" s="4"/>
      <c r="E44" s="4"/>
      <c r="F44" s="4"/>
      <c r="G44" s="4"/>
      <c r="H44" s="4"/>
      <c r="I44" s="4"/>
      <c r="J44" s="4"/>
    </row>
    <row r="45" customFormat="false" ht="15" hidden="false" customHeight="false" outlineLevel="0" collapsed="false">
      <c r="A45" s="5" t="s">
        <v>113</v>
      </c>
      <c r="C45" s="29" t="n">
        <f aca="false">MAX(0,MIN(1,Tenants!$G$8-(C$5-1)))</f>
        <v>1</v>
      </c>
      <c r="D45" s="29" t="n">
        <f aca="false">MAX(0,MIN(1,Tenants!$G$8-(D$5-1)))</f>
        <v>1</v>
      </c>
      <c r="E45" s="29" t="n">
        <f aca="false">MAX(0,MIN(1,Tenants!$G$8-(E$5-1)))</f>
        <v>1</v>
      </c>
      <c r="F45" s="29" t="n">
        <f aca="false">MAX(0,MIN(1,Tenants!$G$8-(F$5-1)))</f>
        <v>0</v>
      </c>
      <c r="G45" s="29" t="n">
        <f aca="false">MAX(0,MIN(1,Tenants!$G$8-(G$5-1)))</f>
        <v>0</v>
      </c>
      <c r="H45" s="29" t="n">
        <f aca="false">MAX(0,MIN(1,Tenants!$G$8-(H$5-1)))</f>
        <v>0</v>
      </c>
      <c r="I45" s="29" t="n">
        <f aca="false">MAX(0,MIN(1,Tenants!$G$8-(I$5-1)))</f>
        <v>0</v>
      </c>
      <c r="J45" s="29" t="n">
        <f aca="false">MAX(0,MIN(1,Tenants!$G$8-(J$5-1)))</f>
        <v>0</v>
      </c>
    </row>
    <row r="46" customFormat="false" ht="15" hidden="false" customHeight="false" outlineLevel="0" collapsed="false">
      <c r="A46" s="5" t="s">
        <v>114</v>
      </c>
      <c r="C46" s="36" t="n">
        <f aca="false">Tenants!$C$8*Tenants!$E$8*(1+Tenants!$F$8)^(C$5-1)*C45</f>
        <v>156000</v>
      </c>
      <c r="D46" s="36" t="n">
        <f aca="false">Tenants!$C$8*Tenants!$E$8*(1+Tenants!$F$8)^(D$5-1)*D45</f>
        <v>160680</v>
      </c>
      <c r="E46" s="36" t="n">
        <f aca="false">Tenants!$C$8*Tenants!$E$8*(1+Tenants!$F$8)^(E$5-1)*E45</f>
        <v>165500.4</v>
      </c>
      <c r="F46" s="36" t="n">
        <f aca="false">Tenants!$C$8*Tenants!$E$8*(1+Tenants!$F$8)^(F$5-1)*F45</f>
        <v>0</v>
      </c>
      <c r="G46" s="36" t="n">
        <f aca="false">Tenants!$C$8*Tenants!$E$8*(1+Tenants!$F$8)^(G$5-1)*G45</f>
        <v>0</v>
      </c>
      <c r="H46" s="36" t="n">
        <f aca="false">Tenants!$C$8*Tenants!$E$8*(1+Tenants!$F$8)^(H$5-1)*H45</f>
        <v>0</v>
      </c>
      <c r="I46" s="36" t="n">
        <f aca="false">Tenants!$C$8*Tenants!$E$8*(1+Tenants!$F$8)^(I$5-1)*I45</f>
        <v>0</v>
      </c>
      <c r="J46" s="36" t="n">
        <f aca="false">Tenants!$C$8*Tenants!$E$8*(1+Tenants!$F$8)^(J$5-1)*J45</f>
        <v>0</v>
      </c>
    </row>
    <row r="47" customFormat="false" ht="15" hidden="false" customHeight="false" outlineLevel="0" collapsed="false">
      <c r="A47" s="5" t="s">
        <v>115</v>
      </c>
      <c r="C47" s="36" t="n">
        <f aca="false">Tenants!$C$8*Tenants!$H$8*(1+Assumptions!$B$15)^(C$5-1)*(1-C45)</f>
        <v>0</v>
      </c>
      <c r="D47" s="36" t="n">
        <f aca="false">Tenants!$C$8*Tenants!$H$8*(1+Assumptions!$B$15)^(D$5-1)*(1-D45)</f>
        <v>0</v>
      </c>
      <c r="E47" s="36" t="n">
        <f aca="false">Tenants!$C$8*Tenants!$H$8*(1+Assumptions!$B$15)^(E$5-1)*(1-E45)</f>
        <v>0</v>
      </c>
      <c r="F47" s="36" t="n">
        <f aca="false">Tenants!$C$8*Tenants!$H$8*(1+Assumptions!$B$15)^(F$5-1)*(1-F45)</f>
        <v>183578.136</v>
      </c>
      <c r="G47" s="36" t="n">
        <f aca="false">Tenants!$C$8*Tenants!$H$8*(1+Assumptions!$B$15)^(G$5-1)*(1-G45)</f>
        <v>189085.48008</v>
      </c>
      <c r="H47" s="36" t="n">
        <f aca="false">Tenants!$C$8*Tenants!$H$8*(1+Assumptions!$B$15)^(H$5-1)*(1-H45)</f>
        <v>194758.0444824</v>
      </c>
      <c r="I47" s="36" t="n">
        <f aca="false">Tenants!$C$8*Tenants!$H$8*(1+Assumptions!$B$15)^(I$5-1)*(1-I45)</f>
        <v>200600.785816872</v>
      </c>
      <c r="J47" s="36" t="n">
        <f aca="false">Tenants!$C$8*Tenants!$H$8*(1+Assumptions!$B$15)^(J$5-1)*(1-J45)</f>
        <v>206618.809391378</v>
      </c>
    </row>
    <row r="48" customFormat="false" ht="15" hidden="false" customHeight="false" outlineLevel="0" collapsed="false">
      <c r="A48" s="5" t="s">
        <v>116</v>
      </c>
      <c r="C48" s="36" t="n">
        <f aca="false">-IF(C$5=Tenants!$R$8,(1-Tenants!$I$8)*MIN(1-C45,Tenants!$J$8/12)*Tenants!$C$8*Tenants!$H$8*(1+Assumptions!$B$15)^(C$5-1),0)</f>
        <v>-0</v>
      </c>
      <c r="D48" s="36" t="n">
        <f aca="false">-IF(D$5=Tenants!$R$8,(1-Tenants!$I$8)*MIN(1-D45,Tenants!$J$8/12)*Tenants!$C$8*Tenants!$H$8*(1+Assumptions!$B$15)^(D$5-1),0)</f>
        <v>-0</v>
      </c>
      <c r="E48" s="36" t="n">
        <f aca="false">-IF(E$5=Tenants!$R$8,(1-Tenants!$I$8)*MIN(1-E45,Tenants!$J$8/12)*Tenants!$C$8*Tenants!$H$8*(1+Assumptions!$B$15)^(E$5-1),0)</f>
        <v>-0</v>
      </c>
      <c r="F48" s="36" t="n">
        <f aca="false">-IF(F$5=Tenants!$R$8,(1-Tenants!$I$8)*MIN(1-F45,Tenants!$J$8/12)*Tenants!$C$8*Tenants!$H$8*(1+Assumptions!$B$15)^(F$5-1),0)</f>
        <v>-0</v>
      </c>
      <c r="G48" s="36" t="n">
        <f aca="false">-IF(G$5=Tenants!$R$8,(1-Tenants!$I$8)*MIN(1-G45,Tenants!$J$8/12)*Tenants!$C$8*Tenants!$H$8*(1+Assumptions!$B$15)^(G$5-1),0)</f>
        <v>-0</v>
      </c>
      <c r="H48" s="36" t="n">
        <f aca="false">-IF(H$5=Tenants!$R$8,(1-Tenants!$I$8)*MIN(1-H45,Tenants!$J$8/12)*Tenants!$C$8*Tenants!$H$8*(1+Assumptions!$B$15)^(H$5-1),0)</f>
        <v>-0</v>
      </c>
      <c r="I48" s="36" t="n">
        <f aca="false">-IF(I$5=Tenants!$R$8,(1-Tenants!$I$8)*MIN(1-I45,Tenants!$J$8/12)*Tenants!$C$8*Tenants!$H$8*(1+Assumptions!$B$15)^(I$5-1),0)</f>
        <v>-0</v>
      </c>
      <c r="J48" s="36" t="n">
        <f aca="false">-IF(J$5=Tenants!$R$8,(1-Tenants!$I$8)*MIN(1-J45,Tenants!$J$8/12)*Tenants!$C$8*Tenants!$H$8*(1+Assumptions!$B$15)^(J$5-1),0)</f>
        <v>-0</v>
      </c>
    </row>
    <row r="49" customFormat="false" ht="15" hidden="false" customHeight="false" outlineLevel="0" collapsed="false">
      <c r="A49" s="5" t="s">
        <v>117</v>
      </c>
      <c r="C49" s="36" t="n">
        <f aca="false">-IF(C$5=Tenants!$R$8,(1-Tenants!$I$8)*Tenants!$K$8/12*Tenants!$C$8*Tenants!$H$8*(1+Assumptions!$B$15)^(C$5-1),0)</f>
        <v>-0</v>
      </c>
      <c r="D49" s="36" t="n">
        <f aca="false">-IF(D$5=Tenants!$R$8,(1-Tenants!$I$8)*Tenants!$K$8/12*Tenants!$C$8*Tenants!$H$8*(1+Assumptions!$B$15)^(D$5-1),0)</f>
        <v>-0</v>
      </c>
      <c r="E49" s="36" t="n">
        <f aca="false">-IF(E$5=Tenants!$R$8,(1-Tenants!$I$8)*Tenants!$K$8/12*Tenants!$C$8*Tenants!$H$8*(1+Assumptions!$B$15)^(E$5-1),0)</f>
        <v>-26734.68</v>
      </c>
      <c r="F49" s="36" t="n">
        <f aca="false">-IF(F$5=Tenants!$R$8,(1-Tenants!$I$8)*Tenants!$K$8/12*Tenants!$C$8*Tenants!$H$8*(1+Assumptions!$B$15)^(F$5-1),0)</f>
        <v>-0</v>
      </c>
      <c r="G49" s="36" t="n">
        <f aca="false">-IF(G$5=Tenants!$R$8,(1-Tenants!$I$8)*Tenants!$K$8/12*Tenants!$C$8*Tenants!$H$8*(1+Assumptions!$B$15)^(G$5-1),0)</f>
        <v>-0</v>
      </c>
      <c r="H49" s="36" t="n">
        <f aca="false">-IF(H$5=Tenants!$R$8,(1-Tenants!$I$8)*Tenants!$K$8/12*Tenants!$C$8*Tenants!$H$8*(1+Assumptions!$B$15)^(H$5-1),0)</f>
        <v>-0</v>
      </c>
      <c r="I49" s="36" t="n">
        <f aca="false">-IF(I$5=Tenants!$R$8,(1-Tenants!$I$8)*Tenants!$K$8/12*Tenants!$C$8*Tenants!$H$8*(1+Assumptions!$B$15)^(I$5-1),0)</f>
        <v>-0</v>
      </c>
      <c r="J49" s="36" t="n">
        <f aca="false">-IF(J$5=Tenants!$R$8,(1-Tenants!$I$8)*Tenants!$K$8/12*Tenants!$C$8*Tenants!$H$8*(1+Assumptions!$B$15)^(J$5-1),0)</f>
        <v>-0</v>
      </c>
    </row>
    <row r="50" customFormat="false" ht="15" hidden="false" customHeight="false" outlineLevel="0" collapsed="false">
      <c r="A50" s="31" t="s">
        <v>118</v>
      </c>
      <c r="B50" s="32"/>
      <c r="C50" s="37" t="n">
        <f aca="false">SUM(C46:C49)</f>
        <v>156000</v>
      </c>
      <c r="D50" s="37" t="n">
        <f aca="false">SUM(D46:D49)</f>
        <v>160680</v>
      </c>
      <c r="E50" s="37" t="n">
        <f aca="false">SUM(E46:E49)</f>
        <v>138765.72</v>
      </c>
      <c r="F50" s="37" t="n">
        <f aca="false">SUM(F46:F49)</f>
        <v>183578.136</v>
      </c>
      <c r="G50" s="37" t="n">
        <f aca="false">SUM(G46:G49)</f>
        <v>189085.48008</v>
      </c>
      <c r="H50" s="37" t="n">
        <f aca="false">SUM(H46:H49)</f>
        <v>194758.0444824</v>
      </c>
      <c r="I50" s="37" t="n">
        <f aca="false">SUM(I46:I49)</f>
        <v>200600.785816872</v>
      </c>
      <c r="J50" s="37" t="n">
        <f aca="false">SUM(J46:J49)</f>
        <v>206618.809391378</v>
      </c>
    </row>
    <row r="51" customFormat="false" ht="15" hidden="false" customHeight="false" outlineLevel="0" collapsed="false">
      <c r="A51" s="5" t="s">
        <v>119</v>
      </c>
      <c r="C51" s="29" t="n">
        <f aca="false">1-IF(C$5=Tenants!$R$8,(1-Tenants!$I$8)*MIN(1-C45,Tenants!$J$8/12),0)</f>
        <v>1</v>
      </c>
      <c r="D51" s="29" t="n">
        <f aca="false">1-IF(D$5=Tenants!$R$8,(1-Tenants!$I$8)*MIN(1-D45,Tenants!$J$8/12),0)</f>
        <v>1</v>
      </c>
      <c r="E51" s="29" t="n">
        <f aca="false">1-IF(E$5=Tenants!$R$8,(1-Tenants!$I$8)*MIN(1-E45,Tenants!$J$8/12),0)</f>
        <v>1</v>
      </c>
      <c r="F51" s="29" t="n">
        <f aca="false">1-IF(F$5=Tenants!$R$8,(1-Tenants!$I$8)*MIN(1-F45,Tenants!$J$8/12),0)</f>
        <v>1</v>
      </c>
      <c r="G51" s="29" t="n">
        <f aca="false">1-IF(G$5=Tenants!$R$8,(1-Tenants!$I$8)*MIN(1-G45,Tenants!$J$8/12),0)</f>
        <v>1</v>
      </c>
      <c r="H51" s="29" t="n">
        <f aca="false">1-IF(H$5=Tenants!$R$8,(1-Tenants!$I$8)*MIN(1-H45,Tenants!$J$8/12),0)</f>
        <v>1</v>
      </c>
      <c r="I51" s="29" t="n">
        <f aca="false">1-IF(I$5=Tenants!$R$8,(1-Tenants!$I$8)*MIN(1-I45,Tenants!$J$8/12),0)</f>
        <v>1</v>
      </c>
      <c r="J51" s="29" t="n">
        <f aca="false">1-IF(J$5=Tenants!$R$8,(1-Tenants!$I$8)*MIN(1-J45,Tenants!$J$8/12),0)</f>
        <v>1</v>
      </c>
    </row>
    <row r="52" customFormat="false" ht="15" hidden="false" customHeight="false" outlineLevel="0" collapsed="false">
      <c r="A52" s="5" t="s">
        <v>120</v>
      </c>
      <c r="C52" s="36" t="n">
        <f aca="false">IF(Tenants!$D$8="NNN",Tenants!$Q$8*C$6*C51,Tenants!$Q$8*MAX(0,C$6-$C$6)*C51)</f>
        <v>20400</v>
      </c>
      <c r="D52" s="36" t="n">
        <f aca="false">IF(Tenants!$D$8="NNN",Tenants!$Q$8*D$6*D51,Tenants!$Q$8*MAX(0,D$6-$C$6)*D51)</f>
        <v>21012</v>
      </c>
      <c r="E52" s="36" t="n">
        <f aca="false">IF(Tenants!$D$8="NNN",Tenants!$Q$8*E$6*E51,Tenants!$Q$8*MAX(0,E$6-$C$6)*E51)</f>
        <v>21642.36</v>
      </c>
      <c r="F52" s="36" t="n">
        <f aca="false">IF(Tenants!$D$8="NNN",Tenants!$Q$8*F$6*F51,Tenants!$Q$8*MAX(0,F$6-$C$6)*F51)</f>
        <v>22291.6308</v>
      </c>
      <c r="G52" s="36" t="n">
        <f aca="false">IF(Tenants!$D$8="NNN",Tenants!$Q$8*G$6*G51,Tenants!$Q$8*MAX(0,G$6-$C$6)*G51)</f>
        <v>22960.379724</v>
      </c>
      <c r="H52" s="36" t="n">
        <f aca="false">IF(Tenants!$D$8="NNN",Tenants!$Q$8*H$6*H51,Tenants!$Q$8*MAX(0,H$6-$C$6)*H51)</f>
        <v>23649.19111572</v>
      </c>
      <c r="I52" s="36" t="n">
        <f aca="false">IF(Tenants!$D$8="NNN",Tenants!$Q$8*I$6*I51,Tenants!$Q$8*MAX(0,I$6-$C$6)*I51)</f>
        <v>24358.6668491916</v>
      </c>
      <c r="J52" s="36" t="n">
        <f aca="false">IF(Tenants!$D$8="NNN",Tenants!$Q$8*J$6*J51,Tenants!$Q$8*MAX(0,J$6-$C$6)*J51)</f>
        <v>25089.4268546674</v>
      </c>
    </row>
    <row r="53" customFormat="false" ht="15" hidden="false" customHeight="false" outlineLevel="0" collapsed="false">
      <c r="A53" s="5" t="s">
        <v>121</v>
      </c>
      <c r="C53" s="36" t="n">
        <f aca="false">-IF(C$5=Tenants!$R$8,Tenants!$C$8*(Tenants!$I$8*Tenants!$M$8+(1-Tenants!$I$8)*Tenants!$L$8)*(1+Assumptions!$B$15)^(C$5-1),0)</f>
        <v>-0</v>
      </c>
      <c r="D53" s="36" t="n">
        <f aca="false">-IF(D$5=Tenants!$R$8,Tenants!$C$8*(Tenants!$I$8*Tenants!$M$8+(1-Tenants!$I$8)*Tenants!$L$8)*(1+Assumptions!$B$15)^(D$5-1),0)</f>
        <v>-0</v>
      </c>
      <c r="E53" s="36" t="n">
        <f aca="false">-IF(E$5=Tenants!$R$8,Tenants!$C$8*(Tenants!$I$8*Tenants!$M$8+(1-Tenants!$I$8)*Tenants!$L$8)*(1+Assumptions!$B$15)^(E$5-1),0)</f>
        <v>-106938.72</v>
      </c>
      <c r="F53" s="36" t="n">
        <f aca="false">-IF(F$5=Tenants!$R$8,Tenants!$C$8*(Tenants!$I$8*Tenants!$M$8+(1-Tenants!$I$8)*Tenants!$L$8)*(1+Assumptions!$B$15)^(F$5-1),0)</f>
        <v>-0</v>
      </c>
      <c r="G53" s="36" t="n">
        <f aca="false">-IF(G$5=Tenants!$R$8,Tenants!$C$8*(Tenants!$I$8*Tenants!$M$8+(1-Tenants!$I$8)*Tenants!$L$8)*(1+Assumptions!$B$15)^(G$5-1),0)</f>
        <v>-0</v>
      </c>
      <c r="H53" s="36" t="n">
        <f aca="false">-IF(H$5=Tenants!$R$8,Tenants!$C$8*(Tenants!$I$8*Tenants!$M$8+(1-Tenants!$I$8)*Tenants!$L$8)*(1+Assumptions!$B$15)^(H$5-1),0)</f>
        <v>-0</v>
      </c>
      <c r="I53" s="36" t="n">
        <f aca="false">-IF(I$5=Tenants!$R$8,Tenants!$C$8*(Tenants!$I$8*Tenants!$M$8+(1-Tenants!$I$8)*Tenants!$L$8)*(1+Assumptions!$B$15)^(I$5-1),0)</f>
        <v>-0</v>
      </c>
      <c r="J53" s="36" t="n">
        <f aca="false">-IF(J$5=Tenants!$R$8,Tenants!$C$8*(Tenants!$I$8*Tenants!$M$8+(1-Tenants!$I$8)*Tenants!$L$8)*(1+Assumptions!$B$15)^(J$5-1),0)</f>
        <v>-0</v>
      </c>
    </row>
    <row r="54" customFormat="false" ht="15" hidden="false" customHeight="false" outlineLevel="0" collapsed="false">
      <c r="A54" s="5" t="s">
        <v>122</v>
      </c>
      <c r="C54" s="36" t="n">
        <f aca="false">-IF(C$5=Tenants!$R$8,Tenants!$C$8*Tenants!$H$8*(1+Assumptions!$B$15)^(C$5-1)*Tenants!$P$8*(Tenants!$I$8*Tenants!$O$8+(1-Tenants!$I$8)*Tenants!$N$8),0)</f>
        <v>-0</v>
      </c>
      <c r="D54" s="36" t="n">
        <f aca="false">-IF(D$5=Tenants!$R$8,Tenants!$C$8*Tenants!$H$8*(1+Assumptions!$B$15)^(D$5-1)*Tenants!$P$8*(Tenants!$I$8*Tenants!$O$8+(1-Tenants!$I$8)*Tenants!$N$8),0)</f>
        <v>-0</v>
      </c>
      <c r="E54" s="36" t="n">
        <f aca="false">-IF(E$5=Tenants!$R$8,Tenants!$C$8*Tenants!$H$8*(1+Assumptions!$B$15)^(E$5-1)*Tenants!$P$8*(Tenants!$I$8*Tenants!$O$8+(1-Tenants!$I$8)*Tenants!$N$8),0)</f>
        <v>-38765.286</v>
      </c>
      <c r="F54" s="36" t="n">
        <f aca="false">-IF(F$5=Tenants!$R$8,Tenants!$C$8*Tenants!$H$8*(1+Assumptions!$B$15)^(F$5-1)*Tenants!$P$8*(Tenants!$I$8*Tenants!$O$8+(1-Tenants!$I$8)*Tenants!$N$8),0)</f>
        <v>-0</v>
      </c>
      <c r="G54" s="36" t="n">
        <f aca="false">-IF(G$5=Tenants!$R$8,Tenants!$C$8*Tenants!$H$8*(1+Assumptions!$B$15)^(G$5-1)*Tenants!$P$8*(Tenants!$I$8*Tenants!$O$8+(1-Tenants!$I$8)*Tenants!$N$8),0)</f>
        <v>-0</v>
      </c>
      <c r="H54" s="36" t="n">
        <f aca="false">-IF(H$5=Tenants!$R$8,Tenants!$C$8*Tenants!$H$8*(1+Assumptions!$B$15)^(H$5-1)*Tenants!$P$8*(Tenants!$I$8*Tenants!$O$8+(1-Tenants!$I$8)*Tenants!$N$8),0)</f>
        <v>-0</v>
      </c>
      <c r="I54" s="36" t="n">
        <f aca="false">-IF(I$5=Tenants!$R$8,Tenants!$C$8*Tenants!$H$8*(1+Assumptions!$B$15)^(I$5-1)*Tenants!$P$8*(Tenants!$I$8*Tenants!$O$8+(1-Tenants!$I$8)*Tenants!$N$8),0)</f>
        <v>-0</v>
      </c>
      <c r="J54" s="36" t="n">
        <f aca="false">-IF(J$5=Tenants!$R$8,Tenants!$C$8*Tenants!$H$8*(1+Assumptions!$B$15)^(J$5-1)*Tenants!$P$8*(Tenants!$I$8*Tenants!$O$8+(1-Tenants!$I$8)*Tenants!$N$8),0)</f>
        <v>-0</v>
      </c>
    </row>
    <row r="56" customFormat="false" ht="15" hidden="false" customHeight="false" outlineLevel="0" collapsed="false">
      <c r="A56" s="3" t="str">
        <f aca="false">Tenants!A9&amp;"  |  "&amp;Tenants!B9</f>
        <v>Tenant 5  |  Retail inline (services)</v>
      </c>
      <c r="B56" s="4"/>
      <c r="C56" s="4"/>
      <c r="D56" s="4"/>
      <c r="E56" s="4"/>
      <c r="F56" s="4"/>
      <c r="G56" s="4"/>
      <c r="H56" s="4"/>
      <c r="I56" s="4"/>
      <c r="J56" s="4"/>
    </row>
    <row r="57" customFormat="false" ht="15" hidden="false" customHeight="false" outlineLevel="0" collapsed="false">
      <c r="A57" s="5" t="s">
        <v>113</v>
      </c>
      <c r="C57" s="29" t="n">
        <f aca="false">MAX(0,MIN(1,Tenants!$G$9-(C$5-1)))</f>
        <v>1</v>
      </c>
      <c r="D57" s="29" t="n">
        <f aca="false">MAX(0,MIN(1,Tenants!$G$9-(D$5-1)))</f>
        <v>0.5</v>
      </c>
      <c r="E57" s="29" t="n">
        <f aca="false">MAX(0,MIN(1,Tenants!$G$9-(E$5-1)))</f>
        <v>0</v>
      </c>
      <c r="F57" s="29" t="n">
        <f aca="false">MAX(0,MIN(1,Tenants!$G$9-(F$5-1)))</f>
        <v>0</v>
      </c>
      <c r="G57" s="29" t="n">
        <f aca="false">MAX(0,MIN(1,Tenants!$G$9-(G$5-1)))</f>
        <v>0</v>
      </c>
      <c r="H57" s="29" t="n">
        <f aca="false">MAX(0,MIN(1,Tenants!$G$9-(H$5-1)))</f>
        <v>0</v>
      </c>
      <c r="I57" s="29" t="n">
        <f aca="false">MAX(0,MIN(1,Tenants!$G$9-(I$5-1)))</f>
        <v>0</v>
      </c>
      <c r="J57" s="29" t="n">
        <f aca="false">MAX(0,MIN(1,Tenants!$G$9-(J$5-1)))</f>
        <v>0</v>
      </c>
    </row>
    <row r="58" customFormat="false" ht="15" hidden="false" customHeight="false" outlineLevel="0" collapsed="false">
      <c r="A58" s="5" t="s">
        <v>114</v>
      </c>
      <c r="C58" s="36" t="n">
        <f aca="false">Tenants!$C$9*Tenants!$E$9*(1+Tenants!$F$9)^(C$5-1)*C57</f>
        <v>99000</v>
      </c>
      <c r="D58" s="36" t="n">
        <f aca="false">Tenants!$C$9*Tenants!$E$9*(1+Tenants!$F$9)^(D$5-1)*D57</f>
        <v>50985</v>
      </c>
      <c r="E58" s="36" t="n">
        <f aca="false">Tenants!$C$9*Tenants!$E$9*(1+Tenants!$F$9)^(E$5-1)*E57</f>
        <v>0</v>
      </c>
      <c r="F58" s="36" t="n">
        <f aca="false">Tenants!$C$9*Tenants!$E$9*(1+Tenants!$F$9)^(F$5-1)*F57</f>
        <v>0</v>
      </c>
      <c r="G58" s="36" t="n">
        <f aca="false">Tenants!$C$9*Tenants!$E$9*(1+Tenants!$F$9)^(G$5-1)*G57</f>
        <v>0</v>
      </c>
      <c r="H58" s="36" t="n">
        <f aca="false">Tenants!$C$9*Tenants!$E$9*(1+Tenants!$F$9)^(H$5-1)*H57</f>
        <v>0</v>
      </c>
      <c r="I58" s="36" t="n">
        <f aca="false">Tenants!$C$9*Tenants!$E$9*(1+Tenants!$F$9)^(I$5-1)*I57</f>
        <v>0</v>
      </c>
      <c r="J58" s="36" t="n">
        <f aca="false">Tenants!$C$9*Tenants!$E$9*(1+Tenants!$F$9)^(J$5-1)*J57</f>
        <v>0</v>
      </c>
    </row>
    <row r="59" customFormat="false" ht="15" hidden="false" customHeight="false" outlineLevel="0" collapsed="false">
      <c r="A59" s="5" t="s">
        <v>115</v>
      </c>
      <c r="C59" s="36" t="n">
        <f aca="false">Tenants!$C$9*Tenants!$H$9*(1+Assumptions!$B$15)^(C$5-1)*(1-C57)</f>
        <v>0</v>
      </c>
      <c r="D59" s="36" t="n">
        <f aca="false">Tenants!$C$9*Tenants!$H$9*(1+Assumptions!$B$15)^(D$5-1)*(1-D57)</f>
        <v>55620</v>
      </c>
      <c r="E59" s="36" t="n">
        <f aca="false">Tenants!$C$9*Tenants!$H$9*(1+Assumptions!$B$15)^(E$5-1)*(1-E57)</f>
        <v>114577.2</v>
      </c>
      <c r="F59" s="36" t="n">
        <f aca="false">Tenants!$C$9*Tenants!$H$9*(1+Assumptions!$B$15)^(F$5-1)*(1-F57)</f>
        <v>118014.516</v>
      </c>
      <c r="G59" s="36" t="n">
        <f aca="false">Tenants!$C$9*Tenants!$H$9*(1+Assumptions!$B$15)^(G$5-1)*(1-G57)</f>
        <v>121554.95148</v>
      </c>
      <c r="H59" s="36" t="n">
        <f aca="false">Tenants!$C$9*Tenants!$H$9*(1+Assumptions!$B$15)^(H$5-1)*(1-H57)</f>
        <v>125201.6000244</v>
      </c>
      <c r="I59" s="36" t="n">
        <f aca="false">Tenants!$C$9*Tenants!$H$9*(1+Assumptions!$B$15)^(I$5-1)*(1-I57)</f>
        <v>128957.648025132</v>
      </c>
      <c r="J59" s="36" t="n">
        <f aca="false">Tenants!$C$9*Tenants!$H$9*(1+Assumptions!$B$15)^(J$5-1)*(1-J57)</f>
        <v>132826.377465886</v>
      </c>
    </row>
    <row r="60" customFormat="false" ht="15" hidden="false" customHeight="false" outlineLevel="0" collapsed="false">
      <c r="A60" s="5" t="s">
        <v>116</v>
      </c>
      <c r="C60" s="36" t="n">
        <f aca="false">-IF(C$5=Tenants!$R$9,(1-Tenants!$I$9)*MIN(1-C57,Tenants!$J$9/12)*Tenants!$C$9*Tenants!$H$9*(1+Assumptions!$B$15)^(C$5-1),0)</f>
        <v>-0</v>
      </c>
      <c r="D60" s="36" t="n">
        <f aca="false">-IF(D$5=Tenants!$R$9,(1-Tenants!$I$9)*MIN(1-D57,Tenants!$J$9/12)*Tenants!$C$9*Tenants!$H$9*(1+Assumptions!$B$15)^(D$5-1),0)</f>
        <v>-22248</v>
      </c>
      <c r="E60" s="36" t="n">
        <f aca="false">-IF(E$5=Tenants!$R$9,(1-Tenants!$I$9)*MIN(1-E57,Tenants!$J$9/12)*Tenants!$C$9*Tenants!$H$9*(1+Assumptions!$B$15)^(E$5-1),0)</f>
        <v>-0</v>
      </c>
      <c r="F60" s="36" t="n">
        <f aca="false">-IF(F$5=Tenants!$R$9,(1-Tenants!$I$9)*MIN(1-F57,Tenants!$J$9/12)*Tenants!$C$9*Tenants!$H$9*(1+Assumptions!$B$15)^(F$5-1),0)</f>
        <v>-0</v>
      </c>
      <c r="G60" s="36" t="n">
        <f aca="false">-IF(G$5=Tenants!$R$9,(1-Tenants!$I$9)*MIN(1-G57,Tenants!$J$9/12)*Tenants!$C$9*Tenants!$H$9*(1+Assumptions!$B$15)^(G$5-1),0)</f>
        <v>-0</v>
      </c>
      <c r="H60" s="36" t="n">
        <f aca="false">-IF(H$5=Tenants!$R$9,(1-Tenants!$I$9)*MIN(1-H57,Tenants!$J$9/12)*Tenants!$C$9*Tenants!$H$9*(1+Assumptions!$B$15)^(H$5-1),0)</f>
        <v>-0</v>
      </c>
      <c r="I60" s="36" t="n">
        <f aca="false">-IF(I$5=Tenants!$R$9,(1-Tenants!$I$9)*MIN(1-I57,Tenants!$J$9/12)*Tenants!$C$9*Tenants!$H$9*(1+Assumptions!$B$15)^(I$5-1),0)</f>
        <v>-0</v>
      </c>
      <c r="J60" s="36" t="n">
        <f aca="false">-IF(J$5=Tenants!$R$9,(1-Tenants!$I$9)*MIN(1-J57,Tenants!$J$9/12)*Tenants!$C$9*Tenants!$H$9*(1+Assumptions!$B$15)^(J$5-1),0)</f>
        <v>-0</v>
      </c>
    </row>
    <row r="61" customFormat="false" ht="15" hidden="false" customHeight="false" outlineLevel="0" collapsed="false">
      <c r="A61" s="5" t="s">
        <v>117</v>
      </c>
      <c r="C61" s="36" t="n">
        <f aca="false">-IF(C$5=Tenants!$R$9,(1-Tenants!$I$9)*Tenants!$K$9/12*Tenants!$C$9*Tenants!$H$9*(1+Assumptions!$B$15)^(C$5-1),0)</f>
        <v>-0</v>
      </c>
      <c r="D61" s="36" t="n">
        <f aca="false">-IF(D$5=Tenants!$R$9,(1-Tenants!$I$9)*Tenants!$K$9/12*Tenants!$C$9*Tenants!$H$9*(1+Assumptions!$B$15)^(D$5-1),0)</f>
        <v>-11124</v>
      </c>
      <c r="E61" s="36" t="n">
        <f aca="false">-IF(E$5=Tenants!$R$9,(1-Tenants!$I$9)*Tenants!$K$9/12*Tenants!$C$9*Tenants!$H$9*(1+Assumptions!$B$15)^(E$5-1),0)</f>
        <v>-0</v>
      </c>
      <c r="F61" s="36" t="n">
        <f aca="false">-IF(F$5=Tenants!$R$9,(1-Tenants!$I$9)*Tenants!$K$9/12*Tenants!$C$9*Tenants!$H$9*(1+Assumptions!$B$15)^(F$5-1),0)</f>
        <v>-0</v>
      </c>
      <c r="G61" s="36" t="n">
        <f aca="false">-IF(G$5=Tenants!$R$9,(1-Tenants!$I$9)*Tenants!$K$9/12*Tenants!$C$9*Tenants!$H$9*(1+Assumptions!$B$15)^(G$5-1),0)</f>
        <v>-0</v>
      </c>
      <c r="H61" s="36" t="n">
        <f aca="false">-IF(H$5=Tenants!$R$9,(1-Tenants!$I$9)*Tenants!$K$9/12*Tenants!$C$9*Tenants!$H$9*(1+Assumptions!$B$15)^(H$5-1),0)</f>
        <v>-0</v>
      </c>
      <c r="I61" s="36" t="n">
        <f aca="false">-IF(I$5=Tenants!$R$9,(1-Tenants!$I$9)*Tenants!$K$9/12*Tenants!$C$9*Tenants!$H$9*(1+Assumptions!$B$15)^(I$5-1),0)</f>
        <v>-0</v>
      </c>
      <c r="J61" s="36" t="n">
        <f aca="false">-IF(J$5=Tenants!$R$9,(1-Tenants!$I$9)*Tenants!$K$9/12*Tenants!$C$9*Tenants!$H$9*(1+Assumptions!$B$15)^(J$5-1),0)</f>
        <v>-0</v>
      </c>
    </row>
    <row r="62" customFormat="false" ht="15" hidden="false" customHeight="false" outlineLevel="0" collapsed="false">
      <c r="A62" s="31" t="s">
        <v>118</v>
      </c>
      <c r="B62" s="32"/>
      <c r="C62" s="37" t="n">
        <f aca="false">SUM(C58:C61)</f>
        <v>99000</v>
      </c>
      <c r="D62" s="37" t="n">
        <f aca="false">SUM(D58:D61)</f>
        <v>73233</v>
      </c>
      <c r="E62" s="37" t="n">
        <f aca="false">SUM(E58:E61)</f>
        <v>114577.2</v>
      </c>
      <c r="F62" s="37" t="n">
        <f aca="false">SUM(F58:F61)</f>
        <v>118014.516</v>
      </c>
      <c r="G62" s="37" t="n">
        <f aca="false">SUM(G58:G61)</f>
        <v>121554.95148</v>
      </c>
      <c r="H62" s="37" t="n">
        <f aca="false">SUM(H58:H61)</f>
        <v>125201.6000244</v>
      </c>
      <c r="I62" s="37" t="n">
        <f aca="false">SUM(I58:I61)</f>
        <v>128957.648025132</v>
      </c>
      <c r="J62" s="37" t="n">
        <f aca="false">SUM(J58:J61)</f>
        <v>132826.377465886</v>
      </c>
    </row>
    <row r="63" customFormat="false" ht="15" hidden="false" customHeight="false" outlineLevel="0" collapsed="false">
      <c r="A63" s="5" t="s">
        <v>119</v>
      </c>
      <c r="C63" s="29" t="n">
        <f aca="false">1-IF(C$5=Tenants!$R$9,(1-Tenants!$I$9)*MIN(1-C57,Tenants!$J$9/12),0)</f>
        <v>1</v>
      </c>
      <c r="D63" s="29" t="n">
        <f aca="false">1-IF(D$5=Tenants!$R$9,(1-Tenants!$I$9)*MIN(1-D57,Tenants!$J$9/12),0)</f>
        <v>0.8</v>
      </c>
      <c r="E63" s="29" t="n">
        <f aca="false">1-IF(E$5=Tenants!$R$9,(1-Tenants!$I$9)*MIN(1-E57,Tenants!$J$9/12),0)</f>
        <v>1</v>
      </c>
      <c r="F63" s="29" t="n">
        <f aca="false">1-IF(F$5=Tenants!$R$9,(1-Tenants!$I$9)*MIN(1-F57,Tenants!$J$9/12),0)</f>
        <v>1</v>
      </c>
      <c r="G63" s="29" t="n">
        <f aca="false">1-IF(G$5=Tenants!$R$9,(1-Tenants!$I$9)*MIN(1-G57,Tenants!$J$9/12),0)</f>
        <v>1</v>
      </c>
      <c r="H63" s="29" t="n">
        <f aca="false">1-IF(H$5=Tenants!$R$9,(1-Tenants!$I$9)*MIN(1-H57,Tenants!$J$9/12),0)</f>
        <v>1</v>
      </c>
      <c r="I63" s="29" t="n">
        <f aca="false">1-IF(I$5=Tenants!$R$9,(1-Tenants!$I$9)*MIN(1-I57,Tenants!$J$9/12),0)</f>
        <v>1</v>
      </c>
      <c r="J63" s="29" t="n">
        <f aca="false">1-IF(J$5=Tenants!$R$9,(1-Tenants!$I$9)*MIN(1-J57,Tenants!$J$9/12),0)</f>
        <v>1</v>
      </c>
    </row>
    <row r="64" customFormat="false" ht="15" hidden="false" customHeight="false" outlineLevel="0" collapsed="false">
      <c r="A64" s="5" t="s">
        <v>120</v>
      </c>
      <c r="C64" s="36" t="n">
        <f aca="false">IF(Tenants!$D$9="NNN",Tenants!$Q$9*C$6*C63,Tenants!$Q$9*MAX(0,C$6-$C$6)*C63)</f>
        <v>0</v>
      </c>
      <c r="D64" s="36" t="n">
        <f aca="false">IF(Tenants!$D$9="NNN",Tenants!$Q$9*D$6*D63,Tenants!$Q$9*MAX(0,D$6-$C$6)*D63)</f>
        <v>367.2</v>
      </c>
      <c r="E64" s="36" t="n">
        <f aca="false">IF(Tenants!$D$9="NNN",Tenants!$Q$9*E$6*E63,Tenants!$Q$9*MAX(0,E$6-$C$6)*E63)</f>
        <v>931.77</v>
      </c>
      <c r="F64" s="36" t="n">
        <f aca="false">IF(Tenants!$D$9="NNN",Tenants!$Q$9*F$6*F63,Tenants!$Q$9*MAX(0,F$6-$C$6)*F63)</f>
        <v>1418.7231</v>
      </c>
      <c r="G64" s="36" t="n">
        <f aca="false">IF(Tenants!$D$9="NNN",Tenants!$Q$9*G$6*G63,Tenants!$Q$9*MAX(0,G$6-$C$6)*G63)</f>
        <v>1920.284793</v>
      </c>
      <c r="H64" s="36" t="n">
        <f aca="false">IF(Tenants!$D$9="NNN",Tenants!$Q$9*H$6*H63,Tenants!$Q$9*MAX(0,H$6-$C$6)*H63)</f>
        <v>2436.89333679</v>
      </c>
      <c r="I64" s="36" t="n">
        <f aca="false">IF(Tenants!$D$9="NNN",Tenants!$Q$9*I$6*I63,Tenants!$Q$9*MAX(0,I$6-$C$6)*I63)</f>
        <v>2969.0001368937</v>
      </c>
      <c r="J64" s="36" t="n">
        <f aca="false">IF(Tenants!$D$9="NNN",Tenants!$Q$9*J$6*J63,Tenants!$Q$9*MAX(0,J$6-$C$6)*J63)</f>
        <v>3517.07014100052</v>
      </c>
    </row>
    <row r="65" customFormat="false" ht="15" hidden="false" customHeight="false" outlineLevel="0" collapsed="false">
      <c r="A65" s="5" t="s">
        <v>121</v>
      </c>
      <c r="C65" s="36" t="n">
        <f aca="false">-IF(C$5=Tenants!$R$9,Tenants!$C$9*(Tenants!$I$9*Tenants!$M$9+(1-Tenants!$I$9)*Tenants!$L$9)*(1+Assumptions!$B$15)^(C$5-1),0)</f>
        <v>-0</v>
      </c>
      <c r="D65" s="36" t="n">
        <f aca="false">-IF(D$5=Tenants!$R$9,Tenants!$C$9*(Tenants!$I$9*Tenants!$M$9+(1-Tenants!$I$9)*Tenants!$L$9)*(1+Assumptions!$B$15)^(D$5-1),0)</f>
        <v>-38934</v>
      </c>
      <c r="E65" s="36" t="n">
        <f aca="false">-IF(E$5=Tenants!$R$9,Tenants!$C$9*(Tenants!$I$9*Tenants!$M$9+(1-Tenants!$I$9)*Tenants!$L$9)*(1+Assumptions!$B$15)^(E$5-1),0)</f>
        <v>-0</v>
      </c>
      <c r="F65" s="36" t="n">
        <f aca="false">-IF(F$5=Tenants!$R$9,Tenants!$C$9*(Tenants!$I$9*Tenants!$M$9+(1-Tenants!$I$9)*Tenants!$L$9)*(1+Assumptions!$B$15)^(F$5-1),0)</f>
        <v>-0</v>
      </c>
      <c r="G65" s="36" t="n">
        <f aca="false">-IF(G$5=Tenants!$R$9,Tenants!$C$9*(Tenants!$I$9*Tenants!$M$9+(1-Tenants!$I$9)*Tenants!$L$9)*(1+Assumptions!$B$15)^(G$5-1),0)</f>
        <v>-0</v>
      </c>
      <c r="H65" s="36" t="n">
        <f aca="false">-IF(H$5=Tenants!$R$9,Tenants!$C$9*(Tenants!$I$9*Tenants!$M$9+(1-Tenants!$I$9)*Tenants!$L$9)*(1+Assumptions!$B$15)^(H$5-1),0)</f>
        <v>-0</v>
      </c>
      <c r="I65" s="36" t="n">
        <f aca="false">-IF(I$5=Tenants!$R$9,Tenants!$C$9*(Tenants!$I$9*Tenants!$M$9+(1-Tenants!$I$9)*Tenants!$L$9)*(1+Assumptions!$B$15)^(I$5-1),0)</f>
        <v>-0</v>
      </c>
      <c r="J65" s="36" t="n">
        <f aca="false">-IF(J$5=Tenants!$R$9,Tenants!$C$9*(Tenants!$I$9*Tenants!$M$9+(1-Tenants!$I$9)*Tenants!$L$9)*(1+Assumptions!$B$15)^(J$5-1),0)</f>
        <v>-0</v>
      </c>
    </row>
    <row r="66" customFormat="false" ht="15" hidden="false" customHeight="false" outlineLevel="0" collapsed="false">
      <c r="A66" s="5" t="s">
        <v>122</v>
      </c>
      <c r="C66" s="36" t="n">
        <f aca="false">-IF(C$5=Tenants!$R$9,Tenants!$C$9*Tenants!$H$9*(1+Assumptions!$B$15)^(C$5-1)*Tenants!$P$9*(Tenants!$I$9*Tenants!$O$9+(1-Tenants!$I$9)*Tenants!$N$9),0)</f>
        <v>-0</v>
      </c>
      <c r="D66" s="36" t="n">
        <f aca="false">-IF(D$5=Tenants!$R$9,Tenants!$C$9*Tenants!$H$9*(1+Assumptions!$B$15)^(D$5-1)*Tenants!$P$9*(Tenants!$I$9*Tenants!$O$9+(1-Tenants!$I$9)*Tenants!$N$9),0)</f>
        <v>-23360.4</v>
      </c>
      <c r="E66" s="36" t="n">
        <f aca="false">-IF(E$5=Tenants!$R$9,Tenants!$C$9*Tenants!$H$9*(1+Assumptions!$B$15)^(E$5-1)*Tenants!$P$9*(Tenants!$I$9*Tenants!$O$9+(1-Tenants!$I$9)*Tenants!$N$9),0)</f>
        <v>-0</v>
      </c>
      <c r="F66" s="36" t="n">
        <f aca="false">-IF(F$5=Tenants!$R$9,Tenants!$C$9*Tenants!$H$9*(1+Assumptions!$B$15)^(F$5-1)*Tenants!$P$9*(Tenants!$I$9*Tenants!$O$9+(1-Tenants!$I$9)*Tenants!$N$9),0)</f>
        <v>-0</v>
      </c>
      <c r="G66" s="36" t="n">
        <f aca="false">-IF(G$5=Tenants!$R$9,Tenants!$C$9*Tenants!$H$9*(1+Assumptions!$B$15)^(G$5-1)*Tenants!$P$9*(Tenants!$I$9*Tenants!$O$9+(1-Tenants!$I$9)*Tenants!$N$9),0)</f>
        <v>-0</v>
      </c>
      <c r="H66" s="36" t="n">
        <f aca="false">-IF(H$5=Tenants!$R$9,Tenants!$C$9*Tenants!$H$9*(1+Assumptions!$B$15)^(H$5-1)*Tenants!$P$9*(Tenants!$I$9*Tenants!$O$9+(1-Tenants!$I$9)*Tenants!$N$9),0)</f>
        <v>-0</v>
      </c>
      <c r="I66" s="36" t="n">
        <f aca="false">-IF(I$5=Tenants!$R$9,Tenants!$C$9*Tenants!$H$9*(1+Assumptions!$B$15)^(I$5-1)*Tenants!$P$9*(Tenants!$I$9*Tenants!$O$9+(1-Tenants!$I$9)*Tenants!$N$9),0)</f>
        <v>-0</v>
      </c>
      <c r="J66" s="36" t="n">
        <f aca="false">-IF(J$5=Tenants!$R$9,Tenants!$C$9*Tenants!$H$9*(1+Assumptions!$B$15)^(J$5-1)*Tenants!$P$9*(Tenants!$I$9*Tenants!$O$9+(1-Tenants!$I$9)*Tenants!$N$9),0)</f>
        <v>-0</v>
      </c>
    </row>
    <row r="68" customFormat="false" ht="15" hidden="false" customHeight="false" outlineLevel="0" collapsed="false">
      <c r="A68" s="3" t="str">
        <f aca="false">Tenants!A10&amp;"  |  "&amp;Tenants!B10</f>
        <v>Tenant 6  |  Office (professional services)</v>
      </c>
      <c r="B68" s="4"/>
      <c r="C68" s="4"/>
      <c r="D68" s="4"/>
      <c r="E68" s="4"/>
      <c r="F68" s="4"/>
      <c r="G68" s="4"/>
      <c r="H68" s="4"/>
      <c r="I68" s="4"/>
      <c r="J68" s="4"/>
    </row>
    <row r="69" customFormat="false" ht="15" hidden="false" customHeight="false" outlineLevel="0" collapsed="false">
      <c r="A69" s="5" t="s">
        <v>113</v>
      </c>
      <c r="C69" s="29" t="n">
        <f aca="false">MAX(0,MIN(1,Tenants!$G$10-(C$5-1)))</f>
        <v>1</v>
      </c>
      <c r="D69" s="29" t="n">
        <f aca="false">MAX(0,MIN(1,Tenants!$G$10-(D$5-1)))</f>
        <v>1</v>
      </c>
      <c r="E69" s="29" t="n">
        <f aca="false">MAX(0,MIN(1,Tenants!$G$10-(E$5-1)))</f>
        <v>0.5</v>
      </c>
      <c r="F69" s="29" t="n">
        <f aca="false">MAX(0,MIN(1,Tenants!$G$10-(F$5-1)))</f>
        <v>0</v>
      </c>
      <c r="G69" s="29" t="n">
        <f aca="false">MAX(0,MIN(1,Tenants!$G$10-(G$5-1)))</f>
        <v>0</v>
      </c>
      <c r="H69" s="29" t="n">
        <f aca="false">MAX(0,MIN(1,Tenants!$G$10-(H$5-1)))</f>
        <v>0</v>
      </c>
      <c r="I69" s="29" t="n">
        <f aca="false">MAX(0,MIN(1,Tenants!$G$10-(I$5-1)))</f>
        <v>0</v>
      </c>
      <c r="J69" s="29" t="n">
        <f aca="false">MAX(0,MIN(1,Tenants!$G$10-(J$5-1)))</f>
        <v>0</v>
      </c>
    </row>
    <row r="70" customFormat="false" ht="15" hidden="false" customHeight="false" outlineLevel="0" collapsed="false">
      <c r="A70" s="5" t="s">
        <v>114</v>
      </c>
      <c r="C70" s="36" t="n">
        <f aca="false">Tenants!$C$10*Tenants!$E$10*(1+Tenants!$F$10)^(C$5-1)*C69</f>
        <v>85750</v>
      </c>
      <c r="D70" s="36" t="n">
        <f aca="false">Tenants!$C$10*Tenants!$E$10*(1+Tenants!$F$10)^(D$5-1)*D69</f>
        <v>87893.75</v>
      </c>
      <c r="E70" s="36" t="n">
        <f aca="false">Tenants!$C$10*Tenants!$E$10*(1+Tenants!$F$10)^(E$5-1)*E69</f>
        <v>45045.546875</v>
      </c>
      <c r="F70" s="36" t="n">
        <f aca="false">Tenants!$C$10*Tenants!$E$10*(1+Tenants!$F$10)^(F$5-1)*F69</f>
        <v>0</v>
      </c>
      <c r="G70" s="36" t="n">
        <f aca="false">Tenants!$C$10*Tenants!$E$10*(1+Tenants!$F$10)^(G$5-1)*G69</f>
        <v>0</v>
      </c>
      <c r="H70" s="36" t="n">
        <f aca="false">Tenants!$C$10*Tenants!$E$10*(1+Tenants!$F$10)^(H$5-1)*H69</f>
        <v>0</v>
      </c>
      <c r="I70" s="36" t="n">
        <f aca="false">Tenants!$C$10*Tenants!$E$10*(1+Tenants!$F$10)^(I$5-1)*I69</f>
        <v>0</v>
      </c>
      <c r="J70" s="36" t="n">
        <f aca="false">Tenants!$C$10*Tenants!$E$10*(1+Tenants!$F$10)^(J$5-1)*J69</f>
        <v>0</v>
      </c>
    </row>
    <row r="71" customFormat="false" ht="15" hidden="false" customHeight="false" outlineLevel="0" collapsed="false">
      <c r="A71" s="5" t="s">
        <v>115</v>
      </c>
      <c r="C71" s="36" t="n">
        <f aca="false">Tenants!$C$10*Tenants!$H$10*(1+Assumptions!$B$15)^(C$5-1)*(1-C69)</f>
        <v>0</v>
      </c>
      <c r="D71" s="36" t="n">
        <f aca="false">Tenants!$C$10*Tenants!$H$10*(1+Assumptions!$B$15)^(D$5-1)*(1-D69)</f>
        <v>0</v>
      </c>
      <c r="E71" s="36" t="n">
        <f aca="false">Tenants!$C$10*Tenants!$H$10*(1+Assumptions!$B$15)^(E$5-1)*(1-E69)</f>
        <v>48270.95</v>
      </c>
      <c r="F71" s="36" t="n">
        <f aca="false">Tenants!$C$10*Tenants!$H$10*(1+Assumptions!$B$15)^(F$5-1)*(1-F69)</f>
        <v>99438.157</v>
      </c>
      <c r="G71" s="36" t="n">
        <f aca="false">Tenants!$C$10*Tenants!$H$10*(1+Assumptions!$B$15)^(G$5-1)*(1-G69)</f>
        <v>102421.30171</v>
      </c>
      <c r="H71" s="36" t="n">
        <f aca="false">Tenants!$C$10*Tenants!$H$10*(1+Assumptions!$B$15)^(H$5-1)*(1-H69)</f>
        <v>105493.9407613</v>
      </c>
      <c r="I71" s="36" t="n">
        <f aca="false">Tenants!$C$10*Tenants!$H$10*(1+Assumptions!$B$15)^(I$5-1)*(1-I69)</f>
        <v>108658.758984139</v>
      </c>
      <c r="J71" s="36" t="n">
        <f aca="false">Tenants!$C$10*Tenants!$H$10*(1+Assumptions!$B$15)^(J$5-1)*(1-J69)</f>
        <v>111918.521753663</v>
      </c>
    </row>
    <row r="72" customFormat="false" ht="15" hidden="false" customHeight="false" outlineLevel="0" collapsed="false">
      <c r="A72" s="5" t="s">
        <v>116</v>
      </c>
      <c r="C72" s="36" t="n">
        <f aca="false">-IF(C$5=Tenants!$R$10,(1-Tenants!$I$10)*MIN(1-C69,Tenants!$J$10/12)*Tenants!$C$10*Tenants!$H$10*(1+Assumptions!$B$15)^(C$5-1),0)</f>
        <v>-0</v>
      </c>
      <c r="D72" s="36" t="n">
        <f aca="false">-IF(D$5=Tenants!$R$10,(1-Tenants!$I$10)*MIN(1-D69,Tenants!$J$10/12)*Tenants!$C$10*Tenants!$H$10*(1+Assumptions!$B$15)^(D$5-1),0)</f>
        <v>-0</v>
      </c>
      <c r="E72" s="36" t="n">
        <f aca="false">-IF(E$5=Tenants!$R$10,(1-Tenants!$I$10)*MIN(1-E69,Tenants!$J$10/12)*Tenants!$C$10*Tenants!$H$10*(1+Assumptions!$B$15)^(E$5-1),0)</f>
        <v>-19308.38</v>
      </c>
      <c r="F72" s="36" t="n">
        <f aca="false">-IF(F$5=Tenants!$R$10,(1-Tenants!$I$10)*MIN(1-F69,Tenants!$J$10/12)*Tenants!$C$10*Tenants!$H$10*(1+Assumptions!$B$15)^(F$5-1),0)</f>
        <v>-0</v>
      </c>
      <c r="G72" s="36" t="n">
        <f aca="false">-IF(G$5=Tenants!$R$10,(1-Tenants!$I$10)*MIN(1-G69,Tenants!$J$10/12)*Tenants!$C$10*Tenants!$H$10*(1+Assumptions!$B$15)^(G$5-1),0)</f>
        <v>-0</v>
      </c>
      <c r="H72" s="36" t="n">
        <f aca="false">-IF(H$5=Tenants!$R$10,(1-Tenants!$I$10)*MIN(1-H69,Tenants!$J$10/12)*Tenants!$C$10*Tenants!$H$10*(1+Assumptions!$B$15)^(H$5-1),0)</f>
        <v>-0</v>
      </c>
      <c r="I72" s="36" t="n">
        <f aca="false">-IF(I$5=Tenants!$R$10,(1-Tenants!$I$10)*MIN(1-I69,Tenants!$J$10/12)*Tenants!$C$10*Tenants!$H$10*(1+Assumptions!$B$15)^(I$5-1),0)</f>
        <v>-0</v>
      </c>
      <c r="J72" s="36" t="n">
        <f aca="false">-IF(J$5=Tenants!$R$10,(1-Tenants!$I$10)*MIN(1-J69,Tenants!$J$10/12)*Tenants!$C$10*Tenants!$H$10*(1+Assumptions!$B$15)^(J$5-1),0)</f>
        <v>-0</v>
      </c>
    </row>
    <row r="73" customFormat="false" ht="15" hidden="false" customHeight="false" outlineLevel="0" collapsed="false">
      <c r="A73" s="5" t="s">
        <v>117</v>
      </c>
      <c r="C73" s="36" t="n">
        <f aca="false">-IF(C$5=Tenants!$R$10,(1-Tenants!$I$10)*Tenants!$K$10/12*Tenants!$C$10*Tenants!$H$10*(1+Assumptions!$B$15)^(C$5-1),0)</f>
        <v>-0</v>
      </c>
      <c r="D73" s="36" t="n">
        <f aca="false">-IF(D$5=Tenants!$R$10,(1-Tenants!$I$10)*Tenants!$K$10/12*Tenants!$C$10*Tenants!$H$10*(1+Assumptions!$B$15)^(D$5-1),0)</f>
        <v>-0</v>
      </c>
      <c r="E73" s="36" t="n">
        <f aca="false">-IF(E$5=Tenants!$R$10,(1-Tenants!$I$10)*Tenants!$K$10/12*Tenants!$C$10*Tenants!$H$10*(1+Assumptions!$B$15)^(E$5-1),0)</f>
        <v>-12872.2533333333</v>
      </c>
      <c r="F73" s="36" t="n">
        <f aca="false">-IF(F$5=Tenants!$R$10,(1-Tenants!$I$10)*Tenants!$K$10/12*Tenants!$C$10*Tenants!$H$10*(1+Assumptions!$B$15)^(F$5-1),0)</f>
        <v>-0</v>
      </c>
      <c r="G73" s="36" t="n">
        <f aca="false">-IF(G$5=Tenants!$R$10,(1-Tenants!$I$10)*Tenants!$K$10/12*Tenants!$C$10*Tenants!$H$10*(1+Assumptions!$B$15)^(G$5-1),0)</f>
        <v>-0</v>
      </c>
      <c r="H73" s="36" t="n">
        <f aca="false">-IF(H$5=Tenants!$R$10,(1-Tenants!$I$10)*Tenants!$K$10/12*Tenants!$C$10*Tenants!$H$10*(1+Assumptions!$B$15)^(H$5-1),0)</f>
        <v>-0</v>
      </c>
      <c r="I73" s="36" t="n">
        <f aca="false">-IF(I$5=Tenants!$R$10,(1-Tenants!$I$10)*Tenants!$K$10/12*Tenants!$C$10*Tenants!$H$10*(1+Assumptions!$B$15)^(I$5-1),0)</f>
        <v>-0</v>
      </c>
      <c r="J73" s="36" t="n">
        <f aca="false">-IF(J$5=Tenants!$R$10,(1-Tenants!$I$10)*Tenants!$K$10/12*Tenants!$C$10*Tenants!$H$10*(1+Assumptions!$B$15)^(J$5-1),0)</f>
        <v>-0</v>
      </c>
    </row>
    <row r="74" customFormat="false" ht="15" hidden="false" customHeight="false" outlineLevel="0" collapsed="false">
      <c r="A74" s="31" t="s">
        <v>118</v>
      </c>
      <c r="B74" s="32"/>
      <c r="C74" s="37" t="n">
        <f aca="false">SUM(C70:C73)</f>
        <v>85750</v>
      </c>
      <c r="D74" s="37" t="n">
        <f aca="false">SUM(D70:D73)</f>
        <v>87893.75</v>
      </c>
      <c r="E74" s="37" t="n">
        <f aca="false">SUM(E70:E73)</f>
        <v>61135.8635416667</v>
      </c>
      <c r="F74" s="37" t="n">
        <f aca="false">SUM(F70:F73)</f>
        <v>99438.157</v>
      </c>
      <c r="G74" s="37" t="n">
        <f aca="false">SUM(G70:G73)</f>
        <v>102421.30171</v>
      </c>
      <c r="H74" s="37" t="n">
        <f aca="false">SUM(H70:H73)</f>
        <v>105493.9407613</v>
      </c>
      <c r="I74" s="37" t="n">
        <f aca="false">SUM(I70:I73)</f>
        <v>108658.758984139</v>
      </c>
      <c r="J74" s="37" t="n">
        <f aca="false">SUM(J70:J73)</f>
        <v>111918.521753663</v>
      </c>
    </row>
    <row r="75" customFormat="false" ht="15" hidden="false" customHeight="false" outlineLevel="0" collapsed="false">
      <c r="A75" s="5" t="s">
        <v>119</v>
      </c>
      <c r="C75" s="29" t="n">
        <f aca="false">1-IF(C$5=Tenants!$R$10,(1-Tenants!$I$10)*MIN(1-C69,Tenants!$J$10/12),0)</f>
        <v>1</v>
      </c>
      <c r="D75" s="29" t="n">
        <f aca="false">1-IF(D$5=Tenants!$R$10,(1-Tenants!$I$10)*MIN(1-D69,Tenants!$J$10/12),0)</f>
        <v>1</v>
      </c>
      <c r="E75" s="29" t="n">
        <f aca="false">1-IF(E$5=Tenants!$R$10,(1-Tenants!$I$10)*MIN(1-E69,Tenants!$J$10/12),0)</f>
        <v>0.8</v>
      </c>
      <c r="F75" s="29" t="n">
        <f aca="false">1-IF(F$5=Tenants!$R$10,(1-Tenants!$I$10)*MIN(1-F69,Tenants!$J$10/12),0)</f>
        <v>1</v>
      </c>
      <c r="G75" s="29" t="n">
        <f aca="false">1-IF(G$5=Tenants!$R$10,(1-Tenants!$I$10)*MIN(1-G69,Tenants!$J$10/12),0)</f>
        <v>1</v>
      </c>
      <c r="H75" s="29" t="n">
        <f aca="false">1-IF(H$5=Tenants!$R$10,(1-Tenants!$I$10)*MIN(1-H69,Tenants!$J$10/12),0)</f>
        <v>1</v>
      </c>
      <c r="I75" s="29" t="n">
        <f aca="false">1-IF(I$5=Tenants!$R$10,(1-Tenants!$I$10)*MIN(1-I69,Tenants!$J$10/12),0)</f>
        <v>1</v>
      </c>
      <c r="J75" s="29" t="n">
        <f aca="false">1-IF(J$5=Tenants!$R$10,(1-Tenants!$I$10)*MIN(1-J69,Tenants!$J$10/12),0)</f>
        <v>1</v>
      </c>
    </row>
    <row r="76" customFormat="false" ht="15" hidden="false" customHeight="false" outlineLevel="0" collapsed="false">
      <c r="A76" s="5" t="s">
        <v>120</v>
      </c>
      <c r="C76" s="36" t="n">
        <f aca="false">IF(Tenants!$D$10="NNN",Tenants!$Q$10*C$6*C75,Tenants!$Q$10*MAX(0,C$6-$C$6)*C75)</f>
        <v>0</v>
      </c>
      <c r="D76" s="36" t="n">
        <f aca="false">IF(Tenants!$D$10="NNN",Tenants!$Q$10*D$6*D75,Tenants!$Q$10*MAX(0,D$6-$C$6)*D75)</f>
        <v>357</v>
      </c>
      <c r="E76" s="36" t="n">
        <f aca="false">IF(Tenants!$D$10="NNN",Tenants!$Q$10*E$6*E75,Tenants!$Q$10*MAX(0,E$6-$C$6)*E75)</f>
        <v>579.768</v>
      </c>
      <c r="F76" s="36" t="n">
        <f aca="false">IF(Tenants!$D$10="NNN",Tenants!$Q$10*F$6*F75,Tenants!$Q$10*MAX(0,F$6-$C$6)*F75)</f>
        <v>1103.4513</v>
      </c>
      <c r="G76" s="36" t="n">
        <f aca="false">IF(Tenants!$D$10="NNN",Tenants!$Q$10*G$6*G75,Tenants!$Q$10*MAX(0,G$6-$C$6)*G75)</f>
        <v>1493.554839</v>
      </c>
      <c r="H76" s="36" t="n">
        <f aca="false">IF(Tenants!$D$10="NNN",Tenants!$Q$10*H$6*H75,Tenants!$Q$10*MAX(0,H$6-$C$6)*H75)</f>
        <v>1895.36148417</v>
      </c>
      <c r="I76" s="36" t="n">
        <f aca="false">IF(Tenants!$D$10="NNN",Tenants!$Q$10*I$6*I75,Tenants!$Q$10*MAX(0,I$6-$C$6)*I75)</f>
        <v>2309.2223286951</v>
      </c>
      <c r="J76" s="36" t="n">
        <f aca="false">IF(Tenants!$D$10="NNN",Tenants!$Q$10*J$6*J75,Tenants!$Q$10*MAX(0,J$6-$C$6)*J75)</f>
        <v>2735.49899855596</v>
      </c>
    </row>
    <row r="77" customFormat="false" ht="15" hidden="false" customHeight="false" outlineLevel="0" collapsed="false">
      <c r="A77" s="5" t="s">
        <v>121</v>
      </c>
      <c r="C77" s="36" t="n">
        <f aca="false">-IF(C$5=Tenants!$R$10,Tenants!$C$10*(Tenants!$I$10*Tenants!$M$10+(1-Tenants!$I$10)*Tenants!$L$10)*(1+Assumptions!$B$15)^(C$5-1),0)</f>
        <v>-0</v>
      </c>
      <c r="D77" s="36" t="n">
        <f aca="false">-IF(D$5=Tenants!$R$10,Tenants!$C$10*(Tenants!$I$10*Tenants!$M$10+(1-Tenants!$I$10)*Tenants!$L$10)*(1+Assumptions!$B$15)^(D$5-1),0)</f>
        <v>-0</v>
      </c>
      <c r="E77" s="36" t="n">
        <f aca="false">-IF(E$5=Tenants!$R$10,Tenants!$C$10*(Tenants!$I$10*Tenants!$M$10+(1-Tenants!$I$10)*Tenants!$L$10)*(1+Assumptions!$B$15)^(E$5-1),0)</f>
        <v>-59410.4</v>
      </c>
      <c r="F77" s="36" t="n">
        <f aca="false">-IF(F$5=Tenants!$R$10,Tenants!$C$10*(Tenants!$I$10*Tenants!$M$10+(1-Tenants!$I$10)*Tenants!$L$10)*(1+Assumptions!$B$15)^(F$5-1),0)</f>
        <v>-0</v>
      </c>
      <c r="G77" s="36" t="n">
        <f aca="false">-IF(G$5=Tenants!$R$10,Tenants!$C$10*(Tenants!$I$10*Tenants!$M$10+(1-Tenants!$I$10)*Tenants!$L$10)*(1+Assumptions!$B$15)^(G$5-1),0)</f>
        <v>-0</v>
      </c>
      <c r="H77" s="36" t="n">
        <f aca="false">-IF(H$5=Tenants!$R$10,Tenants!$C$10*(Tenants!$I$10*Tenants!$M$10+(1-Tenants!$I$10)*Tenants!$L$10)*(1+Assumptions!$B$15)^(H$5-1),0)</f>
        <v>-0</v>
      </c>
      <c r="I77" s="36" t="n">
        <f aca="false">-IF(I$5=Tenants!$R$10,Tenants!$C$10*(Tenants!$I$10*Tenants!$M$10+(1-Tenants!$I$10)*Tenants!$L$10)*(1+Assumptions!$B$15)^(I$5-1),0)</f>
        <v>-0</v>
      </c>
      <c r="J77" s="36" t="n">
        <f aca="false">-IF(J$5=Tenants!$R$10,Tenants!$C$10*(Tenants!$I$10*Tenants!$M$10+(1-Tenants!$I$10)*Tenants!$L$10)*(1+Assumptions!$B$15)^(J$5-1),0)</f>
        <v>-0</v>
      </c>
    </row>
    <row r="78" customFormat="false" ht="15" hidden="false" customHeight="false" outlineLevel="0" collapsed="false">
      <c r="A78" s="5" t="s">
        <v>122</v>
      </c>
      <c r="C78" s="36" t="n">
        <f aca="false">-IF(C$5=Tenants!$R$10,Tenants!$C$10*Tenants!$H$10*(1+Assumptions!$B$15)^(C$5-1)*Tenants!$P$10*(Tenants!$I$10*Tenants!$O$10+(1-Tenants!$I$10)*Tenants!$N$10),0)</f>
        <v>-0</v>
      </c>
      <c r="D78" s="36" t="n">
        <f aca="false">-IF(D$5=Tenants!$R$10,Tenants!$C$10*Tenants!$H$10*(1+Assumptions!$B$15)^(D$5-1)*Tenants!$P$10*(Tenants!$I$10*Tenants!$O$10+(1-Tenants!$I$10)*Tenants!$N$10),0)</f>
        <v>-0</v>
      </c>
      <c r="E78" s="36" t="n">
        <f aca="false">-IF(E$5=Tenants!$R$10,Tenants!$C$10*Tenants!$H$10*(1+Assumptions!$B$15)^(E$5-1)*Tenants!$P$10*(Tenants!$I$10*Tenants!$O$10+(1-Tenants!$I$10)*Tenants!$N$10),0)</f>
        <v>-20273.799</v>
      </c>
      <c r="F78" s="36" t="n">
        <f aca="false">-IF(F$5=Tenants!$R$10,Tenants!$C$10*Tenants!$H$10*(1+Assumptions!$B$15)^(F$5-1)*Tenants!$P$10*(Tenants!$I$10*Tenants!$O$10+(1-Tenants!$I$10)*Tenants!$N$10),0)</f>
        <v>-0</v>
      </c>
      <c r="G78" s="36" t="n">
        <f aca="false">-IF(G$5=Tenants!$R$10,Tenants!$C$10*Tenants!$H$10*(1+Assumptions!$B$15)^(G$5-1)*Tenants!$P$10*(Tenants!$I$10*Tenants!$O$10+(1-Tenants!$I$10)*Tenants!$N$10),0)</f>
        <v>-0</v>
      </c>
      <c r="H78" s="36" t="n">
        <f aca="false">-IF(H$5=Tenants!$R$10,Tenants!$C$10*Tenants!$H$10*(1+Assumptions!$B$15)^(H$5-1)*Tenants!$P$10*(Tenants!$I$10*Tenants!$O$10+(1-Tenants!$I$10)*Tenants!$N$10),0)</f>
        <v>-0</v>
      </c>
      <c r="I78" s="36" t="n">
        <f aca="false">-IF(I$5=Tenants!$R$10,Tenants!$C$10*Tenants!$H$10*(1+Assumptions!$B$15)^(I$5-1)*Tenants!$P$10*(Tenants!$I$10*Tenants!$O$10+(1-Tenants!$I$10)*Tenants!$N$10),0)</f>
        <v>-0</v>
      </c>
      <c r="J78" s="36" t="n">
        <f aca="false">-IF(J$5=Tenants!$R$10,Tenants!$C$10*Tenants!$H$10*(1+Assumptions!$B$15)^(J$5-1)*Tenants!$P$10*(Tenants!$I$10*Tenants!$O$10+(1-Tenants!$I$10)*Tenants!$N$10),0)</f>
        <v>-0</v>
      </c>
    </row>
    <row r="80" customFormat="false" ht="15" hidden="false" customHeight="false" outlineLevel="0" collapsed="false">
      <c r="A80" s="3" t="str">
        <f aca="false">Tenants!A11&amp;"  |  "&amp;Tenants!B11</f>
        <v>Suite 7 (vacant)  |  Flex, currently vacant</v>
      </c>
      <c r="B80" s="4"/>
      <c r="C80" s="4"/>
      <c r="D80" s="4"/>
      <c r="E80" s="4"/>
      <c r="F80" s="4"/>
      <c r="G80" s="4"/>
      <c r="H80" s="4"/>
      <c r="I80" s="4"/>
      <c r="J80" s="4"/>
    </row>
    <row r="81" customFormat="false" ht="15" hidden="false" customHeight="false" outlineLevel="0" collapsed="false">
      <c r="A81" s="5" t="s">
        <v>113</v>
      </c>
      <c r="C81" s="29" t="n">
        <f aca="false">MAX(0,MIN(1,Tenants!$G$11-(C$5-1)))</f>
        <v>0</v>
      </c>
      <c r="D81" s="29" t="n">
        <f aca="false">MAX(0,MIN(1,Tenants!$G$11-(D$5-1)))</f>
        <v>0</v>
      </c>
      <c r="E81" s="29" t="n">
        <f aca="false">MAX(0,MIN(1,Tenants!$G$11-(E$5-1)))</f>
        <v>0</v>
      </c>
      <c r="F81" s="29" t="n">
        <f aca="false">MAX(0,MIN(1,Tenants!$G$11-(F$5-1)))</f>
        <v>0</v>
      </c>
      <c r="G81" s="29" t="n">
        <f aca="false">MAX(0,MIN(1,Tenants!$G$11-(G$5-1)))</f>
        <v>0</v>
      </c>
      <c r="H81" s="29" t="n">
        <f aca="false">MAX(0,MIN(1,Tenants!$G$11-(H$5-1)))</f>
        <v>0</v>
      </c>
      <c r="I81" s="29" t="n">
        <f aca="false">MAX(0,MIN(1,Tenants!$G$11-(I$5-1)))</f>
        <v>0</v>
      </c>
      <c r="J81" s="29" t="n">
        <f aca="false">MAX(0,MIN(1,Tenants!$G$11-(J$5-1)))</f>
        <v>0</v>
      </c>
    </row>
    <row r="82" customFormat="false" ht="15" hidden="false" customHeight="false" outlineLevel="0" collapsed="false">
      <c r="A82" s="5" t="s">
        <v>114</v>
      </c>
      <c r="C82" s="36" t="n">
        <f aca="false">Tenants!$C$11*Tenants!$E$11*(1+Tenants!$F$11)^(C$5-1)*C81</f>
        <v>0</v>
      </c>
      <c r="D82" s="36" t="n">
        <f aca="false">Tenants!$C$11*Tenants!$E$11*(1+Tenants!$F$11)^(D$5-1)*D81</f>
        <v>0</v>
      </c>
      <c r="E82" s="36" t="n">
        <f aca="false">Tenants!$C$11*Tenants!$E$11*(1+Tenants!$F$11)^(E$5-1)*E81</f>
        <v>0</v>
      </c>
      <c r="F82" s="36" t="n">
        <f aca="false">Tenants!$C$11*Tenants!$E$11*(1+Tenants!$F$11)^(F$5-1)*F81</f>
        <v>0</v>
      </c>
      <c r="G82" s="36" t="n">
        <f aca="false">Tenants!$C$11*Tenants!$E$11*(1+Tenants!$F$11)^(G$5-1)*G81</f>
        <v>0</v>
      </c>
      <c r="H82" s="36" t="n">
        <f aca="false">Tenants!$C$11*Tenants!$E$11*(1+Tenants!$F$11)^(H$5-1)*H81</f>
        <v>0</v>
      </c>
      <c r="I82" s="36" t="n">
        <f aca="false">Tenants!$C$11*Tenants!$E$11*(1+Tenants!$F$11)^(I$5-1)*I81</f>
        <v>0</v>
      </c>
      <c r="J82" s="36" t="n">
        <f aca="false">Tenants!$C$11*Tenants!$E$11*(1+Tenants!$F$11)^(J$5-1)*J81</f>
        <v>0</v>
      </c>
    </row>
    <row r="83" customFormat="false" ht="15" hidden="false" customHeight="false" outlineLevel="0" collapsed="false">
      <c r="A83" s="5" t="s">
        <v>115</v>
      </c>
      <c r="C83" s="36" t="n">
        <f aca="false">Tenants!$C$11*Tenants!$H$11*(1+Assumptions!$B$15)^(C$5-1)*(1-C81)</f>
        <v>66000</v>
      </c>
      <c r="D83" s="36" t="n">
        <f aca="false">Tenants!$C$11*Tenants!$H$11*(1+Assumptions!$B$15)^(D$5-1)*(1-D81)</f>
        <v>67980</v>
      </c>
      <c r="E83" s="36" t="n">
        <f aca="false">Tenants!$C$11*Tenants!$H$11*(1+Assumptions!$B$15)^(E$5-1)*(1-E81)</f>
        <v>70019.4</v>
      </c>
      <c r="F83" s="36" t="n">
        <f aca="false">Tenants!$C$11*Tenants!$H$11*(1+Assumptions!$B$15)^(F$5-1)*(1-F81)</f>
        <v>72119.982</v>
      </c>
      <c r="G83" s="36" t="n">
        <f aca="false">Tenants!$C$11*Tenants!$H$11*(1+Assumptions!$B$15)^(G$5-1)*(1-G81)</f>
        <v>74283.58146</v>
      </c>
      <c r="H83" s="36" t="n">
        <f aca="false">Tenants!$C$11*Tenants!$H$11*(1+Assumptions!$B$15)^(H$5-1)*(1-H81)</f>
        <v>76512.0889038</v>
      </c>
      <c r="I83" s="36" t="n">
        <f aca="false">Tenants!$C$11*Tenants!$H$11*(1+Assumptions!$B$15)^(I$5-1)*(1-I81)</f>
        <v>78807.451570914</v>
      </c>
      <c r="J83" s="36" t="n">
        <f aca="false">Tenants!$C$11*Tenants!$H$11*(1+Assumptions!$B$15)^(J$5-1)*(1-J81)</f>
        <v>81171.6751180414</v>
      </c>
    </row>
    <row r="84" customFormat="false" ht="15" hidden="false" customHeight="false" outlineLevel="0" collapsed="false">
      <c r="A84" s="5" t="s">
        <v>116</v>
      </c>
      <c r="C84" s="36" t="n">
        <f aca="false">-IF(C$5=Tenants!$R$11,(1-Tenants!$I$11)*MIN(1-C81,Tenants!$J$11/12)*Tenants!$C$11*Tenants!$H$11*(1+Assumptions!$B$15)^(C$5-1),0)</f>
        <v>-49500</v>
      </c>
      <c r="D84" s="36" t="n">
        <f aca="false">-IF(D$5=Tenants!$R$11,(1-Tenants!$I$11)*MIN(1-D81,Tenants!$J$11/12)*Tenants!$C$11*Tenants!$H$11*(1+Assumptions!$B$15)^(D$5-1),0)</f>
        <v>-0</v>
      </c>
      <c r="E84" s="36" t="n">
        <f aca="false">-IF(E$5=Tenants!$R$11,(1-Tenants!$I$11)*MIN(1-E81,Tenants!$J$11/12)*Tenants!$C$11*Tenants!$H$11*(1+Assumptions!$B$15)^(E$5-1),0)</f>
        <v>-0</v>
      </c>
      <c r="F84" s="36" t="n">
        <f aca="false">-IF(F$5=Tenants!$R$11,(1-Tenants!$I$11)*MIN(1-F81,Tenants!$J$11/12)*Tenants!$C$11*Tenants!$H$11*(1+Assumptions!$B$15)^(F$5-1),0)</f>
        <v>-0</v>
      </c>
      <c r="G84" s="36" t="n">
        <f aca="false">-IF(G$5=Tenants!$R$11,(1-Tenants!$I$11)*MIN(1-G81,Tenants!$J$11/12)*Tenants!$C$11*Tenants!$H$11*(1+Assumptions!$B$15)^(G$5-1),0)</f>
        <v>-0</v>
      </c>
      <c r="H84" s="36" t="n">
        <f aca="false">-IF(H$5=Tenants!$R$11,(1-Tenants!$I$11)*MIN(1-H81,Tenants!$J$11/12)*Tenants!$C$11*Tenants!$H$11*(1+Assumptions!$B$15)^(H$5-1),0)</f>
        <v>-0</v>
      </c>
      <c r="I84" s="36" t="n">
        <f aca="false">-IF(I$5=Tenants!$R$11,(1-Tenants!$I$11)*MIN(1-I81,Tenants!$J$11/12)*Tenants!$C$11*Tenants!$H$11*(1+Assumptions!$B$15)^(I$5-1),0)</f>
        <v>-0</v>
      </c>
      <c r="J84" s="36" t="n">
        <f aca="false">-IF(J$5=Tenants!$R$11,(1-Tenants!$I$11)*MIN(1-J81,Tenants!$J$11/12)*Tenants!$C$11*Tenants!$H$11*(1+Assumptions!$B$15)^(J$5-1),0)</f>
        <v>-0</v>
      </c>
    </row>
    <row r="85" customFormat="false" ht="15" hidden="false" customHeight="false" outlineLevel="0" collapsed="false">
      <c r="A85" s="5" t="s">
        <v>117</v>
      </c>
      <c r="C85" s="36" t="n">
        <f aca="false">-IF(C$5=Tenants!$R$11,(1-Tenants!$I$11)*Tenants!$K$11/12*Tenants!$C$11*Tenants!$H$11*(1+Assumptions!$B$15)^(C$5-1),0)</f>
        <v>-16500</v>
      </c>
      <c r="D85" s="36" t="n">
        <f aca="false">-IF(D$5=Tenants!$R$11,(1-Tenants!$I$11)*Tenants!$K$11/12*Tenants!$C$11*Tenants!$H$11*(1+Assumptions!$B$15)^(D$5-1),0)</f>
        <v>-0</v>
      </c>
      <c r="E85" s="36" t="n">
        <f aca="false">-IF(E$5=Tenants!$R$11,(1-Tenants!$I$11)*Tenants!$K$11/12*Tenants!$C$11*Tenants!$H$11*(1+Assumptions!$B$15)^(E$5-1),0)</f>
        <v>-0</v>
      </c>
      <c r="F85" s="36" t="n">
        <f aca="false">-IF(F$5=Tenants!$R$11,(1-Tenants!$I$11)*Tenants!$K$11/12*Tenants!$C$11*Tenants!$H$11*(1+Assumptions!$B$15)^(F$5-1),0)</f>
        <v>-0</v>
      </c>
      <c r="G85" s="36" t="n">
        <f aca="false">-IF(G$5=Tenants!$R$11,(1-Tenants!$I$11)*Tenants!$K$11/12*Tenants!$C$11*Tenants!$H$11*(1+Assumptions!$B$15)^(G$5-1),0)</f>
        <v>-0</v>
      </c>
      <c r="H85" s="36" t="n">
        <f aca="false">-IF(H$5=Tenants!$R$11,(1-Tenants!$I$11)*Tenants!$K$11/12*Tenants!$C$11*Tenants!$H$11*(1+Assumptions!$B$15)^(H$5-1),0)</f>
        <v>-0</v>
      </c>
      <c r="I85" s="36" t="n">
        <f aca="false">-IF(I$5=Tenants!$R$11,(1-Tenants!$I$11)*Tenants!$K$11/12*Tenants!$C$11*Tenants!$H$11*(1+Assumptions!$B$15)^(I$5-1),0)</f>
        <v>-0</v>
      </c>
      <c r="J85" s="36" t="n">
        <f aca="false">-IF(J$5=Tenants!$R$11,(1-Tenants!$I$11)*Tenants!$K$11/12*Tenants!$C$11*Tenants!$H$11*(1+Assumptions!$B$15)^(J$5-1),0)</f>
        <v>-0</v>
      </c>
    </row>
    <row r="86" customFormat="false" ht="15" hidden="false" customHeight="false" outlineLevel="0" collapsed="false">
      <c r="A86" s="31" t="s">
        <v>118</v>
      </c>
      <c r="B86" s="32"/>
      <c r="C86" s="37" t="n">
        <f aca="false">SUM(C82:C85)</f>
        <v>0</v>
      </c>
      <c r="D86" s="37" t="n">
        <f aca="false">SUM(D82:D85)</f>
        <v>67980</v>
      </c>
      <c r="E86" s="37" t="n">
        <f aca="false">SUM(E82:E85)</f>
        <v>70019.4</v>
      </c>
      <c r="F86" s="37" t="n">
        <f aca="false">SUM(F82:F85)</f>
        <v>72119.982</v>
      </c>
      <c r="G86" s="37" t="n">
        <f aca="false">SUM(G82:G85)</f>
        <v>74283.58146</v>
      </c>
      <c r="H86" s="37" t="n">
        <f aca="false">SUM(H82:H85)</f>
        <v>76512.0889038</v>
      </c>
      <c r="I86" s="37" t="n">
        <f aca="false">SUM(I82:I85)</f>
        <v>78807.451570914</v>
      </c>
      <c r="J86" s="37" t="n">
        <f aca="false">SUM(J82:J85)</f>
        <v>81171.6751180414</v>
      </c>
    </row>
    <row r="87" customFormat="false" ht="15" hidden="false" customHeight="false" outlineLevel="0" collapsed="false">
      <c r="A87" s="5" t="s">
        <v>119</v>
      </c>
      <c r="C87" s="29" t="n">
        <f aca="false">1-IF(C$5=Tenants!$R$11,(1-Tenants!$I$11)*MIN(1-C81,Tenants!$J$11/12),0)</f>
        <v>0.25</v>
      </c>
      <c r="D87" s="29" t="n">
        <f aca="false">1-IF(D$5=Tenants!$R$11,(1-Tenants!$I$11)*MIN(1-D81,Tenants!$J$11/12),0)</f>
        <v>1</v>
      </c>
      <c r="E87" s="29" t="n">
        <f aca="false">1-IF(E$5=Tenants!$R$11,(1-Tenants!$I$11)*MIN(1-E81,Tenants!$J$11/12),0)</f>
        <v>1</v>
      </c>
      <c r="F87" s="29" t="n">
        <f aca="false">1-IF(F$5=Tenants!$R$11,(1-Tenants!$I$11)*MIN(1-F81,Tenants!$J$11/12),0)</f>
        <v>1</v>
      </c>
      <c r="G87" s="29" t="n">
        <f aca="false">1-IF(G$5=Tenants!$R$11,(1-Tenants!$I$11)*MIN(1-G81,Tenants!$J$11/12),0)</f>
        <v>1</v>
      </c>
      <c r="H87" s="29" t="n">
        <f aca="false">1-IF(H$5=Tenants!$R$11,(1-Tenants!$I$11)*MIN(1-H81,Tenants!$J$11/12),0)</f>
        <v>1</v>
      </c>
      <c r="I87" s="29" t="n">
        <f aca="false">1-IF(I$5=Tenants!$R$11,(1-Tenants!$I$11)*MIN(1-I81,Tenants!$J$11/12),0)</f>
        <v>1</v>
      </c>
      <c r="J87" s="29" t="n">
        <f aca="false">1-IF(J$5=Tenants!$R$11,(1-Tenants!$I$11)*MIN(1-J81,Tenants!$J$11/12),0)</f>
        <v>1</v>
      </c>
    </row>
    <row r="88" customFormat="false" ht="15" hidden="false" customHeight="false" outlineLevel="0" collapsed="false">
      <c r="A88" s="5" t="s">
        <v>120</v>
      </c>
      <c r="C88" s="36" t="n">
        <f aca="false">IF(Tenants!$D$11="NNN",Tenants!$Q$11*C$6*C87,Tenants!$Q$11*MAX(0,C$6-$C$6)*C87)</f>
        <v>5100</v>
      </c>
      <c r="D88" s="36" t="n">
        <f aca="false">IF(Tenants!$D$11="NNN",Tenants!$Q$11*D$6*D87,Tenants!$Q$11*MAX(0,D$6-$C$6)*D87)</f>
        <v>21012</v>
      </c>
      <c r="E88" s="36" t="n">
        <f aca="false">IF(Tenants!$D$11="NNN",Tenants!$Q$11*E$6*E87,Tenants!$Q$11*MAX(0,E$6-$C$6)*E87)</f>
        <v>21642.36</v>
      </c>
      <c r="F88" s="36" t="n">
        <f aca="false">IF(Tenants!$D$11="NNN",Tenants!$Q$11*F$6*F87,Tenants!$Q$11*MAX(0,F$6-$C$6)*F87)</f>
        <v>22291.6308</v>
      </c>
      <c r="G88" s="36" t="n">
        <f aca="false">IF(Tenants!$D$11="NNN",Tenants!$Q$11*G$6*G87,Tenants!$Q$11*MAX(0,G$6-$C$6)*G87)</f>
        <v>22960.379724</v>
      </c>
      <c r="H88" s="36" t="n">
        <f aca="false">IF(Tenants!$D$11="NNN",Tenants!$Q$11*H$6*H87,Tenants!$Q$11*MAX(0,H$6-$C$6)*H87)</f>
        <v>23649.19111572</v>
      </c>
      <c r="I88" s="36" t="n">
        <f aca="false">IF(Tenants!$D$11="NNN",Tenants!$Q$11*I$6*I87,Tenants!$Q$11*MAX(0,I$6-$C$6)*I87)</f>
        <v>24358.6668491916</v>
      </c>
      <c r="J88" s="36" t="n">
        <f aca="false">IF(Tenants!$D$11="NNN",Tenants!$Q$11*J$6*J87,Tenants!$Q$11*MAX(0,J$6-$C$6)*J87)</f>
        <v>25089.4268546674</v>
      </c>
    </row>
    <row r="89" customFormat="false" ht="15" hidden="false" customHeight="false" outlineLevel="0" collapsed="false">
      <c r="A89" s="5" t="s">
        <v>121</v>
      </c>
      <c r="C89" s="36" t="n">
        <f aca="false">-IF(C$5=Tenants!$R$11,Tenants!$C$11*(Tenants!$I$11*Tenants!$M$11+(1-Tenants!$I$11)*Tenants!$L$11)*(1+Assumptions!$B$15)^(C$5-1),0)</f>
        <v>-27000</v>
      </c>
      <c r="D89" s="36" t="n">
        <f aca="false">-IF(D$5=Tenants!$R$11,Tenants!$C$11*(Tenants!$I$11*Tenants!$M$11+(1-Tenants!$I$11)*Tenants!$L$11)*(1+Assumptions!$B$15)^(D$5-1),0)</f>
        <v>-0</v>
      </c>
      <c r="E89" s="36" t="n">
        <f aca="false">-IF(E$5=Tenants!$R$11,Tenants!$C$11*(Tenants!$I$11*Tenants!$M$11+(1-Tenants!$I$11)*Tenants!$L$11)*(1+Assumptions!$B$15)^(E$5-1),0)</f>
        <v>-0</v>
      </c>
      <c r="F89" s="36" t="n">
        <f aca="false">-IF(F$5=Tenants!$R$11,Tenants!$C$11*(Tenants!$I$11*Tenants!$M$11+(1-Tenants!$I$11)*Tenants!$L$11)*(1+Assumptions!$B$15)^(F$5-1),0)</f>
        <v>-0</v>
      </c>
      <c r="G89" s="36" t="n">
        <f aca="false">-IF(G$5=Tenants!$R$11,Tenants!$C$11*(Tenants!$I$11*Tenants!$M$11+(1-Tenants!$I$11)*Tenants!$L$11)*(1+Assumptions!$B$15)^(G$5-1),0)</f>
        <v>-0</v>
      </c>
      <c r="H89" s="36" t="n">
        <f aca="false">-IF(H$5=Tenants!$R$11,Tenants!$C$11*(Tenants!$I$11*Tenants!$M$11+(1-Tenants!$I$11)*Tenants!$L$11)*(1+Assumptions!$B$15)^(H$5-1),0)</f>
        <v>-0</v>
      </c>
      <c r="I89" s="36" t="n">
        <f aca="false">-IF(I$5=Tenants!$R$11,Tenants!$C$11*(Tenants!$I$11*Tenants!$M$11+(1-Tenants!$I$11)*Tenants!$L$11)*(1+Assumptions!$B$15)^(I$5-1),0)</f>
        <v>-0</v>
      </c>
      <c r="J89" s="36" t="n">
        <f aca="false">-IF(J$5=Tenants!$R$11,Tenants!$C$11*(Tenants!$I$11*Tenants!$M$11+(1-Tenants!$I$11)*Tenants!$L$11)*(1+Assumptions!$B$15)^(J$5-1),0)</f>
        <v>-0</v>
      </c>
    </row>
    <row r="90" customFormat="false" ht="15" hidden="false" customHeight="false" outlineLevel="0" collapsed="false">
      <c r="A90" s="5" t="s">
        <v>122</v>
      </c>
      <c r="C90" s="36" t="n">
        <f aca="false">-IF(C$5=Tenants!$R$11,Tenants!$C$11*Tenants!$H$11*(1+Assumptions!$B$15)^(C$5-1)*Tenants!$P$11*(Tenants!$I$11*Tenants!$O$11+(1-Tenants!$I$11)*Tenants!$N$11),0)</f>
        <v>-19800</v>
      </c>
      <c r="D90" s="36" t="n">
        <f aca="false">-IF(D$5=Tenants!$R$11,Tenants!$C$11*Tenants!$H$11*(1+Assumptions!$B$15)^(D$5-1)*Tenants!$P$11*(Tenants!$I$11*Tenants!$O$11+(1-Tenants!$I$11)*Tenants!$N$11),0)</f>
        <v>-0</v>
      </c>
      <c r="E90" s="36" t="n">
        <f aca="false">-IF(E$5=Tenants!$R$11,Tenants!$C$11*Tenants!$H$11*(1+Assumptions!$B$15)^(E$5-1)*Tenants!$P$11*(Tenants!$I$11*Tenants!$O$11+(1-Tenants!$I$11)*Tenants!$N$11),0)</f>
        <v>-0</v>
      </c>
      <c r="F90" s="36" t="n">
        <f aca="false">-IF(F$5=Tenants!$R$11,Tenants!$C$11*Tenants!$H$11*(1+Assumptions!$B$15)^(F$5-1)*Tenants!$P$11*(Tenants!$I$11*Tenants!$O$11+(1-Tenants!$I$11)*Tenants!$N$11),0)</f>
        <v>-0</v>
      </c>
      <c r="G90" s="36" t="n">
        <f aca="false">-IF(G$5=Tenants!$R$11,Tenants!$C$11*Tenants!$H$11*(1+Assumptions!$B$15)^(G$5-1)*Tenants!$P$11*(Tenants!$I$11*Tenants!$O$11+(1-Tenants!$I$11)*Tenants!$N$11),0)</f>
        <v>-0</v>
      </c>
      <c r="H90" s="36" t="n">
        <f aca="false">-IF(H$5=Tenants!$R$11,Tenants!$C$11*Tenants!$H$11*(1+Assumptions!$B$15)^(H$5-1)*Tenants!$P$11*(Tenants!$I$11*Tenants!$O$11+(1-Tenants!$I$11)*Tenants!$N$11),0)</f>
        <v>-0</v>
      </c>
      <c r="I90" s="36" t="n">
        <f aca="false">-IF(I$5=Tenants!$R$11,Tenants!$C$11*Tenants!$H$11*(1+Assumptions!$B$15)^(I$5-1)*Tenants!$P$11*(Tenants!$I$11*Tenants!$O$11+(1-Tenants!$I$11)*Tenants!$N$11),0)</f>
        <v>-0</v>
      </c>
      <c r="J90" s="36" t="n">
        <f aca="false">-IF(J$5=Tenants!$R$11,Tenants!$C$11*Tenants!$H$11*(1+Assumptions!$B$15)^(J$5-1)*Tenants!$P$11*(Tenants!$I$11*Tenants!$O$11+(1-Tenants!$I$11)*Tenants!$N$11),0)</f>
        <v>-0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property.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4"/>
    <col collapsed="false" customWidth="true" hidden="false" outlineLevel="0" max="10" min="3" style="0" width="14"/>
  </cols>
  <sheetData>
    <row r="1" customFormat="false" ht="19.7" hidden="false" customHeight="false" outlineLevel="0" collapsed="false">
      <c r="A1" s="1" t="s">
        <v>123</v>
      </c>
    </row>
    <row r="2" customFormat="false" ht="15" hidden="false" customHeight="false" outlineLevel="0" collapsed="false">
      <c r="A2" s="2" t="s">
        <v>124</v>
      </c>
    </row>
    <row r="4" customFormat="false" ht="15" hidden="false" customHeight="false" outlineLevel="0" collapsed="false">
      <c r="A4" s="24" t="s">
        <v>102</v>
      </c>
      <c r="B4" s="25"/>
      <c r="C4" s="25" t="s">
        <v>103</v>
      </c>
      <c r="D4" s="25" t="s">
        <v>104</v>
      </c>
      <c r="E4" s="25" t="s">
        <v>105</v>
      </c>
      <c r="F4" s="25" t="s">
        <v>106</v>
      </c>
      <c r="G4" s="25" t="s">
        <v>107</v>
      </c>
      <c r="H4" s="25" t="s">
        <v>108</v>
      </c>
      <c r="I4" s="25" t="s">
        <v>109</v>
      </c>
      <c r="J4" s="25" t="s">
        <v>110</v>
      </c>
    </row>
    <row r="5" customFormat="false" ht="15" hidden="false" customHeight="false" outlineLevel="0" collapsed="false">
      <c r="A5" s="2" t="s">
        <v>111</v>
      </c>
      <c r="C5" s="35" t="n">
        <v>1</v>
      </c>
      <c r="D5" s="35" t="n">
        <v>2</v>
      </c>
      <c r="E5" s="35" t="n">
        <v>3</v>
      </c>
      <c r="F5" s="35" t="n">
        <v>4</v>
      </c>
      <c r="G5" s="35" t="n">
        <v>5</v>
      </c>
      <c r="H5" s="35" t="n">
        <v>6</v>
      </c>
      <c r="I5" s="35" t="n">
        <v>7</v>
      </c>
      <c r="J5" s="35" t="n">
        <v>8</v>
      </c>
    </row>
    <row r="6" customFormat="false" ht="15" hidden="false" customHeight="false" outlineLevel="0" collapsed="false">
      <c r="A6" s="5" t="s">
        <v>125</v>
      </c>
      <c r="C6" s="8" t="n">
        <f aca="false">'Lease CF'!C10+'Lease CF'!C22+'Lease CF'!C34+'Lease CF'!C46+'Lease CF'!C58+'Lease CF'!C70+'Lease CF'!C82</f>
        <v>1428350</v>
      </c>
      <c r="D6" s="8" t="n">
        <f aca="false">'Lease CF'!D10+'Lease CF'!D22+'Lease CF'!D34+'Lease CF'!D46+'Lease CF'!D58+'Lease CF'!D70+'Lease CF'!D82</f>
        <v>1415726.75</v>
      </c>
      <c r="E6" s="8" t="n">
        <f aca="false">'Lease CF'!E10+'Lease CF'!E22+'Lease CF'!E34+'Lease CF'!E46+'Lease CF'!E58+'Lease CF'!E70+'Lease CF'!E82</f>
        <v>1096349.466875</v>
      </c>
      <c r="F6" s="8" t="n">
        <f aca="false">'Lease CF'!F10+'Lease CF'!F22+'Lease CF'!F34+'Lease CF'!F46+'Lease CF'!F58+'Lease CF'!F70+'Lease CF'!F82</f>
        <v>908153.6016</v>
      </c>
      <c r="G6" s="8" t="n">
        <f aca="false">'Lease CF'!G10+'Lease CF'!G22+'Lease CF'!G34+'Lease CF'!G46+'Lease CF'!G58+'Lease CF'!G70+'Lease CF'!G82</f>
        <v>685278.581064</v>
      </c>
      <c r="H6" s="8" t="n">
        <f aca="false">'Lease CF'!H10+'Lease CF'!H22+'Lease CF'!H34+'Lease CF'!H46+'Lease CF'!H58+'Lease CF'!H70+'Lease CF'!H82</f>
        <v>448256.8060992</v>
      </c>
      <c r="I6" s="8" t="n">
        <f aca="false">'Lease CF'!I10+'Lease CF'!I22+'Lease CF'!I34+'Lease CF'!I46+'Lease CF'!I58+'Lease CF'!I70+'Lease CF'!I82</f>
        <v>457221.942221184</v>
      </c>
      <c r="J6" s="8" t="n">
        <f aca="false">'Lease CF'!J10+'Lease CF'!J22+'Lease CF'!J34+'Lease CF'!J46+'Lease CF'!J58+'Lease CF'!J70+'Lease CF'!J82</f>
        <v>0</v>
      </c>
    </row>
    <row r="7" customFormat="false" ht="15" hidden="false" customHeight="false" outlineLevel="0" collapsed="false">
      <c r="A7" s="5" t="s">
        <v>126</v>
      </c>
      <c r="C7" s="8" t="n">
        <f aca="false">'Lease CF'!C11+'Lease CF'!C23+'Lease CF'!C35+'Lease CF'!C47+'Lease CF'!C59+'Lease CF'!C71+'Lease CF'!C83</f>
        <v>66000</v>
      </c>
      <c r="D7" s="8" t="n">
        <f aca="false">'Lease CF'!D11+'Lease CF'!D23+'Lease CF'!D35+'Lease CF'!D47+'Lease CF'!D59+'Lease CF'!D71+'Lease CF'!D83</f>
        <v>123600</v>
      </c>
      <c r="E7" s="8" t="n">
        <f aca="false">'Lease CF'!E11+'Lease CF'!E23+'Lease CF'!E35+'Lease CF'!E47+'Lease CF'!E59+'Lease CF'!E71+'Lease CF'!E83</f>
        <v>512945.15</v>
      </c>
      <c r="F7" s="8" t="n">
        <f aca="false">'Lease CF'!F11+'Lease CF'!F23+'Lease CF'!F35+'Lease CF'!F47+'Lease CF'!F59+'Lease CF'!F71+'Lease CF'!F83</f>
        <v>761630.719</v>
      </c>
      <c r="G7" s="8" t="n">
        <f aca="false">'Lease CF'!G11+'Lease CF'!G23+'Lease CF'!G35+'Lease CF'!G47+'Lease CF'!G59+'Lease CF'!G71+'Lease CF'!G83</f>
        <v>1044922.379204</v>
      </c>
      <c r="H7" s="8" t="n">
        <f aca="false">'Lease CF'!H11+'Lease CF'!H23+'Lease CF'!H35+'Lease CF'!H47+'Lease CF'!H59+'Lease CF'!H71+'Lease CF'!H83</f>
        <v>1344526.07137314</v>
      </c>
      <c r="I7" s="8" t="n">
        <f aca="false">'Lease CF'!I11+'Lease CF'!I23+'Lease CF'!I35+'Lease CF'!I47+'Lease CF'!I59+'Lease CF'!I71+'Lease CF'!I83</f>
        <v>1384861.85351433</v>
      </c>
      <c r="J7" s="8" t="n">
        <f aca="false">'Lease CF'!J11+'Lease CF'!J23+'Lease CF'!J35+'Lease CF'!J47+'Lease CF'!J59+'Lease CF'!J71+'Lease CF'!J83</f>
        <v>1960172.96671416</v>
      </c>
    </row>
    <row r="8" customFormat="false" ht="15" hidden="false" customHeight="false" outlineLevel="0" collapsed="false">
      <c r="A8" s="5" t="s">
        <v>116</v>
      </c>
      <c r="C8" s="8" t="n">
        <f aca="false">'Lease CF'!C12+'Lease CF'!C24+'Lease CF'!C36+'Lease CF'!C48+'Lease CF'!C60+'Lease CF'!C72+'Lease CF'!C84</f>
        <v>-49500</v>
      </c>
      <c r="D8" s="8" t="n">
        <f aca="false">'Lease CF'!D12+'Lease CF'!D24+'Lease CF'!D36+'Lease CF'!D48+'Lease CF'!D60+'Lease CF'!D72+'Lease CF'!D84</f>
        <v>-22248</v>
      </c>
      <c r="E8" s="8" t="n">
        <f aca="false">'Lease CF'!E12+'Lease CF'!E24+'Lease CF'!E36+'Lease CF'!E48+'Lease CF'!E60+'Lease CF'!E72+'Lease CF'!E84</f>
        <v>-19308.38</v>
      </c>
      <c r="F8" s="8" t="n">
        <f aca="false">'Lease CF'!F12+'Lease CF'!F24+'Lease CF'!F36+'Lease CF'!F48+'Lease CF'!F60+'Lease CF'!F72+'Lease CF'!F84</f>
        <v>-0</v>
      </c>
      <c r="G8" s="8" t="n">
        <f aca="false">'Lease CF'!G12+'Lease CF'!G24+'Lease CF'!G36+'Lease CF'!G48+'Lease CF'!G60+'Lease CF'!G72+'Lease CF'!G84</f>
        <v>-91154.9585219</v>
      </c>
      <c r="H8" s="8" t="n">
        <f aca="false">'Lease CF'!H12+'Lease CF'!H24+'Lease CF'!H36+'Lease CF'!H48+'Lease CF'!H60+'Lease CF'!H72+'Lease CF'!H84</f>
        <v>-0</v>
      </c>
      <c r="I8" s="8" t="n">
        <f aca="false">'Lease CF'!I12+'Lease CF'!I24+'Lease CF'!I36+'Lease CF'!I48+'Lease CF'!I60+'Lease CF'!I72+'Lease CF'!I84</f>
        <v>-0</v>
      </c>
      <c r="J8" s="8" t="n">
        <f aca="false">'Lease CF'!J12+'Lease CF'!J24+'Lease CF'!J36+'Lease CF'!J48+'Lease CF'!J60+'Lease CF'!J72+'Lease CF'!J84</f>
        <v>-0</v>
      </c>
    </row>
    <row r="9" customFormat="false" ht="15" hidden="false" customHeight="false" outlineLevel="0" collapsed="false">
      <c r="A9" s="5" t="s">
        <v>127</v>
      </c>
      <c r="C9" s="8" t="n">
        <f aca="false">'Lease CF'!C13+'Lease CF'!C25+'Lease CF'!C37+'Lease CF'!C49+'Lease CF'!C61+'Lease CF'!C73+'Lease CF'!C85</f>
        <v>-16500</v>
      </c>
      <c r="D9" s="8" t="n">
        <f aca="false">'Lease CF'!D13+'Lease CF'!D25+'Lease CF'!D37+'Lease CF'!D49+'Lease CF'!D61+'Lease CF'!D73+'Lease CF'!D85</f>
        <v>-38316</v>
      </c>
      <c r="E9" s="8" t="n">
        <f aca="false">'Lease CF'!E13+'Lease CF'!E25+'Lease CF'!E37+'Lease CF'!E49+'Lease CF'!E61+'Lease CF'!E73+'Lease CF'!E85</f>
        <v>-39606.9333333333</v>
      </c>
      <c r="F9" s="8" t="n">
        <f aca="false">'Lease CF'!F13+'Lease CF'!F25+'Lease CF'!F37+'Lease CF'!F49+'Lease CF'!F61+'Lease CF'!F73+'Lease CF'!F85</f>
        <v>-0</v>
      </c>
      <c r="G9" s="8" t="n">
        <f aca="false">'Lease CF'!G13+'Lease CF'!G25+'Lease CF'!G37+'Lease CF'!G49+'Lease CF'!G61+'Lease CF'!G73+'Lease CF'!G85</f>
        <v>-45577.47926095</v>
      </c>
      <c r="H9" s="8" t="n">
        <f aca="false">'Lease CF'!H13+'Lease CF'!H25+'Lease CF'!H37+'Lease CF'!H49+'Lease CF'!H61+'Lease CF'!H73+'Lease CF'!H85</f>
        <v>-0</v>
      </c>
      <c r="I9" s="8" t="n">
        <f aca="false">'Lease CF'!I13+'Lease CF'!I25+'Lease CF'!I37+'Lease CF'!I49+'Lease CF'!I61+'Lease CF'!I73+'Lease CF'!I85</f>
        <v>-34547.9131129057</v>
      </c>
      <c r="J9" s="8" t="n">
        <f aca="false">'Lease CF'!J13+'Lease CF'!J25+'Lease CF'!J37+'Lease CF'!J49+'Lease CF'!J61+'Lease CF'!J73+'Lease CF'!J85</f>
        <v>-0</v>
      </c>
    </row>
    <row r="10" customFormat="false" ht="15" hidden="false" customHeight="false" outlineLevel="0" collapsed="false">
      <c r="A10" s="31" t="s">
        <v>128</v>
      </c>
      <c r="B10" s="32"/>
      <c r="C10" s="37" t="n">
        <f aca="false">SUM(C6:C9)</f>
        <v>1428350</v>
      </c>
      <c r="D10" s="37" t="n">
        <f aca="false">SUM(D6:D9)</f>
        <v>1478762.75</v>
      </c>
      <c r="E10" s="37" t="n">
        <f aca="false">SUM(E6:E9)</f>
        <v>1550379.30354167</v>
      </c>
      <c r="F10" s="37" t="n">
        <f aca="false">SUM(F6:F9)</f>
        <v>1669784.3206</v>
      </c>
      <c r="G10" s="37" t="n">
        <f aca="false">SUM(G6:G9)</f>
        <v>1593468.52248515</v>
      </c>
      <c r="H10" s="37" t="n">
        <f aca="false">SUM(H6:H9)</f>
        <v>1792782.87747234</v>
      </c>
      <c r="I10" s="37" t="n">
        <f aca="false">SUM(I6:I9)</f>
        <v>1807535.88262261</v>
      </c>
      <c r="J10" s="37" t="n">
        <f aca="false">SUM(J6:J9)</f>
        <v>1960172.96671416</v>
      </c>
    </row>
    <row r="11" customFormat="false" ht="15" hidden="false" customHeight="false" outlineLevel="0" collapsed="false">
      <c r="A11" s="5" t="s">
        <v>120</v>
      </c>
      <c r="C11" s="8" t="n">
        <f aca="false">'Lease CF'!C16+'Lease CF'!C28+'Lease CF'!C40+'Lease CF'!C52+'Lease CF'!C64+'Lease CF'!C76+'Lease CF'!C88</f>
        <v>379100</v>
      </c>
      <c r="D11" s="8" t="n">
        <f aca="false">'Lease CF'!D16+'Lease CF'!D28+'Lease CF'!D40+'Lease CF'!D52+'Lease CF'!D64+'Lease CF'!D76+'Lease CF'!D88</f>
        <v>406956.2</v>
      </c>
      <c r="E11" s="8" t="n">
        <f aca="false">'Lease CF'!E16+'Lease CF'!E28+'Lease CF'!E40+'Lease CF'!E52+'Lease CF'!E64+'Lease CF'!E76+'Lease CF'!E88</f>
        <v>419930.498</v>
      </c>
      <c r="F11" s="8" t="n">
        <f aca="false">'Lease CF'!F16+'Lease CF'!F28+'Lease CF'!F40+'Lease CF'!F52+'Lease CF'!F64+'Lease CF'!F76+'Lease CF'!F88</f>
        <v>433493.7032</v>
      </c>
      <c r="G11" s="8" t="n">
        <f aca="false">'Lease CF'!G16+'Lease CF'!G28+'Lease CF'!G40+'Lease CF'!G52+'Lease CF'!G64+'Lease CF'!G76+'Lease CF'!G88</f>
        <v>412491.2717146</v>
      </c>
      <c r="H11" s="8" t="n">
        <f aca="false">'Lease CF'!H16+'Lease CF'!H28+'Lease CF'!H40+'Lease CF'!H52+'Lease CF'!H64+'Lease CF'!H76+'Lease CF'!H88</f>
        <v>461549.94972488</v>
      </c>
      <c r="I11" s="8" t="n">
        <f aca="false">'Lease CF'!I16+'Lease CF'!I28+'Lease CF'!I40+'Lease CF'!I52+'Lease CF'!I64+'Lease CF'!I76+'Lease CF'!I88</f>
        <v>476212.448216626</v>
      </c>
      <c r="J11" s="8" t="n">
        <f aca="false">'Lease CF'!J16+'Lease CF'!J28+'Lease CF'!J40+'Lease CF'!J52+'Lease CF'!J64+'Lease CF'!J76+'Lease CF'!J88</f>
        <v>491314.821663125</v>
      </c>
    </row>
    <row r="12" customFormat="false" ht="15" hidden="false" customHeight="false" outlineLevel="0" collapsed="false">
      <c r="A12" s="5" t="s">
        <v>129</v>
      </c>
      <c r="C12" s="36" t="n">
        <f aca="false">-C10*Assumptions!$B$20</f>
        <v>-14283.5</v>
      </c>
      <c r="D12" s="36" t="n">
        <f aca="false">-D10*Assumptions!$B$20</f>
        <v>-14787.6275</v>
      </c>
      <c r="E12" s="36" t="n">
        <f aca="false">-E10*Assumptions!$B$20</f>
        <v>-15503.7930354167</v>
      </c>
      <c r="F12" s="36" t="n">
        <f aca="false">-F10*Assumptions!$B$20</f>
        <v>-16697.843206</v>
      </c>
      <c r="G12" s="36" t="n">
        <f aca="false">-G10*Assumptions!$B$20</f>
        <v>-15934.6852248515</v>
      </c>
      <c r="H12" s="36" t="n">
        <f aca="false">-H10*Assumptions!$B$20</f>
        <v>-17927.8287747234</v>
      </c>
      <c r="I12" s="36" t="n">
        <f aca="false">-I10*Assumptions!$B$20</f>
        <v>-18075.3588262261</v>
      </c>
      <c r="J12" s="36" t="n">
        <f aca="false">-J10*Assumptions!$B$20</f>
        <v>-19601.7296671416</v>
      </c>
    </row>
    <row r="13" customFormat="false" ht="15" hidden="false" customHeight="false" outlineLevel="0" collapsed="false">
      <c r="A13" s="31" t="s">
        <v>130</v>
      </c>
      <c r="B13" s="32"/>
      <c r="C13" s="37" t="n">
        <f aca="false">C10+C11+C12</f>
        <v>1793166.5</v>
      </c>
      <c r="D13" s="37" t="n">
        <f aca="false">D10+D11+D12</f>
        <v>1870931.3225</v>
      </c>
      <c r="E13" s="37" t="n">
        <f aca="false">E10+E11+E12</f>
        <v>1954806.00850625</v>
      </c>
      <c r="F13" s="37" t="n">
        <f aca="false">F10+F11+F12</f>
        <v>2086580.180594</v>
      </c>
      <c r="G13" s="37" t="n">
        <f aca="false">G10+G11+G12</f>
        <v>1990025.1089749</v>
      </c>
      <c r="H13" s="37" t="n">
        <f aca="false">H10+H11+H12</f>
        <v>2236404.9984225</v>
      </c>
      <c r="I13" s="37" t="n">
        <f aca="false">I10+I11+I12</f>
        <v>2265672.97201301</v>
      </c>
      <c r="J13" s="37" t="n">
        <f aca="false">J10+J11+J12</f>
        <v>2431886.05871014</v>
      </c>
    </row>
    <row r="15" customFormat="false" ht="15" hidden="false" customHeight="false" outlineLevel="0" collapsed="false">
      <c r="A15" s="5" t="s">
        <v>131</v>
      </c>
      <c r="C15" s="8" t="n">
        <f aca="false">-'Lease CF'!C6</f>
        <v>-421600</v>
      </c>
      <c r="D15" s="8" t="n">
        <f aca="false">-'Lease CF'!D6</f>
        <v>-434248</v>
      </c>
      <c r="E15" s="8" t="n">
        <f aca="false">-'Lease CF'!E6</f>
        <v>-447275.44</v>
      </c>
      <c r="F15" s="8" t="n">
        <f aca="false">-'Lease CF'!F6</f>
        <v>-460693.7032</v>
      </c>
      <c r="G15" s="8" t="n">
        <f aca="false">-'Lease CF'!G6</f>
        <v>-474514.514296</v>
      </c>
      <c r="H15" s="8" t="n">
        <f aca="false">-'Lease CF'!H6</f>
        <v>-488749.94972488</v>
      </c>
      <c r="I15" s="8" t="n">
        <f aca="false">-'Lease CF'!I6</f>
        <v>-503412.448216627</v>
      </c>
      <c r="J15" s="8" t="n">
        <f aca="false">-'Lease CF'!J6</f>
        <v>-518514.821663125</v>
      </c>
    </row>
    <row r="16" customFormat="false" ht="15" hidden="false" customHeight="false" outlineLevel="0" collapsed="false">
      <c r="A16" s="5" t="s">
        <v>132</v>
      </c>
      <c r="C16" s="36" t="n">
        <f aca="false">-Assumptions!$B$18*C13</f>
        <v>-53794.995</v>
      </c>
      <c r="D16" s="36" t="n">
        <f aca="false">-Assumptions!$B$18*D13</f>
        <v>-56127.939675</v>
      </c>
      <c r="E16" s="36" t="n">
        <f aca="false">-Assumptions!$B$18*E13</f>
        <v>-58644.1802551875</v>
      </c>
      <c r="F16" s="36" t="n">
        <f aca="false">-Assumptions!$B$18*F13</f>
        <v>-62597.40541782</v>
      </c>
      <c r="G16" s="36" t="n">
        <f aca="false">-Assumptions!$B$18*G13</f>
        <v>-59700.753269247</v>
      </c>
      <c r="H16" s="36" t="n">
        <f aca="false">-Assumptions!$B$18*H13</f>
        <v>-67092.1499526749</v>
      </c>
      <c r="I16" s="36" t="n">
        <f aca="false">-Assumptions!$B$18*I13</f>
        <v>-67970.1891603904</v>
      </c>
      <c r="J16" s="36" t="n">
        <f aca="false">-Assumptions!$B$18*J13</f>
        <v>-72956.5817613043</v>
      </c>
    </row>
    <row r="17" customFormat="false" ht="15" hidden="false" customHeight="false" outlineLevel="0" collapsed="false">
      <c r="A17" s="5" t="s">
        <v>133</v>
      </c>
      <c r="C17" s="36" t="n">
        <f aca="false">-Assumptions!$B$19*Tenants!$C$12*(1+Assumptions!$B$16)^(C$5-1)</f>
        <v>-14880</v>
      </c>
      <c r="D17" s="36" t="n">
        <f aca="false">-Assumptions!$B$19*Tenants!$C$12*(1+Assumptions!$B$16)^(D$5-1)</f>
        <v>-15326.4</v>
      </c>
      <c r="E17" s="36" t="n">
        <f aca="false">-Assumptions!$B$19*Tenants!$C$12*(1+Assumptions!$B$16)^(E$5-1)</f>
        <v>-15786.192</v>
      </c>
      <c r="F17" s="36" t="n">
        <f aca="false">-Assumptions!$B$19*Tenants!$C$12*(1+Assumptions!$B$16)^(F$5-1)</f>
        <v>-16259.77776</v>
      </c>
      <c r="G17" s="36" t="n">
        <f aca="false">-Assumptions!$B$19*Tenants!$C$12*(1+Assumptions!$B$16)^(G$5-1)</f>
        <v>-16747.5710928</v>
      </c>
      <c r="H17" s="36" t="n">
        <f aca="false">-Assumptions!$B$19*Tenants!$C$12*(1+Assumptions!$B$16)^(H$5-1)</f>
        <v>-17249.998225584</v>
      </c>
      <c r="I17" s="36" t="n">
        <f aca="false">-Assumptions!$B$19*Tenants!$C$12*(1+Assumptions!$B$16)^(I$5-1)</f>
        <v>-17767.4981723515</v>
      </c>
      <c r="J17" s="36" t="n">
        <f aca="false">-Assumptions!$B$19*Tenants!$C$12*(1+Assumptions!$B$16)^(J$5-1)</f>
        <v>-18300.5231175221</v>
      </c>
    </row>
    <row r="18" customFormat="false" ht="15" hidden="false" customHeight="false" outlineLevel="0" collapsed="false">
      <c r="A18" s="31" t="s">
        <v>134</v>
      </c>
      <c r="B18" s="32"/>
      <c r="C18" s="37" t="n">
        <f aca="false">SUM(C15:C17)</f>
        <v>-490274.995</v>
      </c>
      <c r="D18" s="37" t="n">
        <f aca="false">SUM(D15:D17)</f>
        <v>-505702.339675</v>
      </c>
      <c r="E18" s="37" t="n">
        <f aca="false">SUM(E15:E17)</f>
        <v>-521705.812255188</v>
      </c>
      <c r="F18" s="37" t="n">
        <f aca="false">SUM(F15:F17)</f>
        <v>-539550.88637782</v>
      </c>
      <c r="G18" s="37" t="n">
        <f aca="false">SUM(G15:G17)</f>
        <v>-550962.838658047</v>
      </c>
      <c r="H18" s="37" t="n">
        <f aca="false">SUM(H15:H17)</f>
        <v>-573092.097903139</v>
      </c>
      <c r="I18" s="37" t="n">
        <f aca="false">SUM(I15:I17)</f>
        <v>-589150.135549368</v>
      </c>
      <c r="J18" s="37" t="n">
        <f aca="false">SUM(J15:J17)</f>
        <v>-609771.926541952</v>
      </c>
    </row>
    <row r="19" customFormat="false" ht="15" hidden="false" customHeight="false" outlineLevel="0" collapsed="false">
      <c r="A19" s="38" t="s">
        <v>135</v>
      </c>
      <c r="B19" s="39"/>
      <c r="C19" s="40" t="n">
        <f aca="false">C13+C18</f>
        <v>1302891.505</v>
      </c>
      <c r="D19" s="40" t="n">
        <f aca="false">D13+D18</f>
        <v>1365228.982825</v>
      </c>
      <c r="E19" s="40" t="n">
        <f aca="false">E13+E18</f>
        <v>1433100.19625106</v>
      </c>
      <c r="F19" s="40" t="n">
        <f aca="false">F13+F18</f>
        <v>1547029.29421618</v>
      </c>
      <c r="G19" s="40" t="n">
        <f aca="false">G13+G18</f>
        <v>1439062.27031685</v>
      </c>
      <c r="H19" s="40" t="n">
        <f aca="false">H13+H18</f>
        <v>1663312.90051936</v>
      </c>
      <c r="I19" s="40" t="n">
        <f aca="false">I13+I18</f>
        <v>1676522.83646364</v>
      </c>
      <c r="J19" s="40" t="n">
        <f aca="false">J13+J18</f>
        <v>1822114.13216819</v>
      </c>
    </row>
    <row r="21" customFormat="false" ht="15" hidden="false" customHeight="false" outlineLevel="0" collapsed="false">
      <c r="A21" s="5" t="s">
        <v>121</v>
      </c>
      <c r="C21" s="8" t="n">
        <f aca="false">'Lease CF'!C17+'Lease CF'!C29+'Lease CF'!C41+'Lease CF'!C53+'Lease CF'!C65+'Lease CF'!C77+'Lease CF'!C89</f>
        <v>-27000</v>
      </c>
      <c r="D21" s="8" t="n">
        <f aca="false">'Lease CF'!D17+'Lease CF'!D29+'Lease CF'!D41+'Lease CF'!D53+'Lease CF'!D65+'Lease CF'!D77+'Lease CF'!D89</f>
        <v>-97026</v>
      </c>
      <c r="E21" s="8" t="n">
        <f aca="false">'Lease CF'!E17+'Lease CF'!E29+'Lease CF'!E41+'Lease CF'!E53+'Lease CF'!E65+'Lease CF'!E77+'Lease CF'!E89</f>
        <v>-166349.12</v>
      </c>
      <c r="F21" s="8" t="n">
        <f aca="false">'Lease CF'!F17+'Lease CF'!F29+'Lease CF'!F41+'Lease CF'!F53+'Lease CF'!F65+'Lease CF'!F77+'Lease CF'!F89</f>
        <v>-0</v>
      </c>
      <c r="G21" s="8" t="n">
        <f aca="false">'Lease CF'!G17+'Lease CF'!G29+'Lease CF'!G41+'Lease CF'!G53+'Lease CF'!G65+'Lease CF'!G77+'Lease CF'!G89</f>
        <v>-109737.108975</v>
      </c>
      <c r="H21" s="8" t="n">
        <f aca="false">'Lease CF'!H17+'Lease CF'!H29+'Lease CF'!H41+'Lease CF'!H53+'Lease CF'!H65+'Lease CF'!H77+'Lease CF'!H89</f>
        <v>-0</v>
      </c>
      <c r="I21" s="8" t="n">
        <f aca="false">'Lease CF'!I17+'Lease CF'!I29+'Lease CF'!I41+'Lease CF'!I53+'Lease CF'!I65+'Lease CF'!I77+'Lease CF'!I89</f>
        <v>-106987.085768998</v>
      </c>
      <c r="J21" s="8" t="n">
        <f aca="false">'Lease CF'!J17+'Lease CF'!J29+'Lease CF'!J41+'Lease CF'!J53+'Lease CF'!J65+'Lease CF'!J77+'Lease CF'!J89</f>
        <v>-0</v>
      </c>
    </row>
    <row r="22" customFormat="false" ht="15" hidden="false" customHeight="false" outlineLevel="0" collapsed="false">
      <c r="A22" s="5" t="s">
        <v>122</v>
      </c>
      <c r="C22" s="8" t="n">
        <f aca="false">'Lease CF'!C18+'Lease CF'!C30+'Lease CF'!C42+'Lease CF'!C54+'Lease CF'!C66+'Lease CF'!C78+'Lease CF'!C90</f>
        <v>-19800</v>
      </c>
      <c r="D22" s="8" t="n">
        <f aca="false">'Lease CF'!D18+'Lease CF'!D30+'Lease CF'!D42+'Lease CF'!D54+'Lease CF'!D66+'Lease CF'!D78+'Lease CF'!D90</f>
        <v>-80463.6</v>
      </c>
      <c r="E22" s="8" t="n">
        <f aca="false">'Lease CF'!E18+'Lease CF'!E30+'Lease CF'!E42+'Lease CF'!E54+'Lease CF'!E66+'Lease CF'!E78+'Lease CF'!E90</f>
        <v>-59039.085</v>
      </c>
      <c r="F22" s="8" t="n">
        <f aca="false">'Lease CF'!F18+'Lease CF'!F30+'Lease CF'!F42+'Lease CF'!F54+'Lease CF'!F66+'Lease CF'!F78+'Lease CF'!F90</f>
        <v>-0</v>
      </c>
      <c r="G22" s="8" t="n">
        <f aca="false">'Lease CF'!G18+'Lease CF'!G30+'Lease CF'!G42+'Lease CF'!G54+'Lease CF'!G66+'Lease CF'!G78+'Lease CF'!G90</f>
        <v>-105479.30914677</v>
      </c>
      <c r="H22" s="8" t="n">
        <f aca="false">'Lease CF'!H18+'Lease CF'!H30+'Lease CF'!H42+'Lease CF'!H54+'Lease CF'!H66+'Lease CF'!H78+'Lease CF'!H90</f>
        <v>-0</v>
      </c>
      <c r="I22" s="8" t="n">
        <f aca="false">'Lease CF'!I18+'Lease CF'!I30+'Lease CF'!I42+'Lease CF'!I54+'Lease CF'!I66+'Lease CF'!I78+'Lease CF'!I90</f>
        <v>-155465.609008076</v>
      </c>
      <c r="J22" s="8" t="n">
        <f aca="false">'Lease CF'!J18+'Lease CF'!J30+'Lease CF'!J42+'Lease CF'!J54+'Lease CF'!J66+'Lease CF'!J78+'Lease CF'!J90</f>
        <v>-0</v>
      </c>
    </row>
    <row r="23" customFormat="false" ht="15" hidden="false" customHeight="false" outlineLevel="0" collapsed="false">
      <c r="A23" s="5" t="s">
        <v>136</v>
      </c>
      <c r="C23" s="36" t="n">
        <f aca="false">-Assumptions!$B$21*Tenants!$C$12*(1+Assumptions!$B$16)^(C$5-1)</f>
        <v>-18600</v>
      </c>
      <c r="D23" s="36" t="n">
        <f aca="false">-Assumptions!$B$21*Tenants!$C$12*(1+Assumptions!$B$16)^(D$5-1)</f>
        <v>-19158</v>
      </c>
      <c r="E23" s="36" t="n">
        <f aca="false">-Assumptions!$B$21*Tenants!$C$12*(1+Assumptions!$B$16)^(E$5-1)</f>
        <v>-19732.74</v>
      </c>
      <c r="F23" s="36" t="n">
        <f aca="false">-Assumptions!$B$21*Tenants!$C$12*(1+Assumptions!$B$16)^(F$5-1)</f>
        <v>-20324.7222</v>
      </c>
      <c r="G23" s="36" t="n">
        <f aca="false">-Assumptions!$B$21*Tenants!$C$12*(1+Assumptions!$B$16)^(G$5-1)</f>
        <v>-20934.463866</v>
      </c>
      <c r="H23" s="36" t="n">
        <f aca="false">-Assumptions!$B$21*Tenants!$C$12*(1+Assumptions!$B$16)^(H$5-1)</f>
        <v>-21562.49778198</v>
      </c>
      <c r="I23" s="36" t="n">
        <f aca="false">-Assumptions!$B$21*Tenants!$C$12*(1+Assumptions!$B$16)^(I$5-1)</f>
        <v>-22209.3727154394</v>
      </c>
      <c r="J23" s="36" t="n">
        <f aca="false">-Assumptions!$B$21*Tenants!$C$12*(1+Assumptions!$B$16)^(J$5-1)</f>
        <v>-22875.6538969026</v>
      </c>
    </row>
    <row r="24" customFormat="false" ht="15" hidden="false" customHeight="false" outlineLevel="0" collapsed="false">
      <c r="A24" s="31" t="s">
        <v>137</v>
      </c>
      <c r="B24" s="32"/>
      <c r="C24" s="37" t="n">
        <f aca="false">C19+C21+C22+C23</f>
        <v>1237491.505</v>
      </c>
      <c r="D24" s="37" t="n">
        <f aca="false">D19+D21+D22+D23</f>
        <v>1168581.382825</v>
      </c>
      <c r="E24" s="37" t="n">
        <f aca="false">E19+E21+E22+E23</f>
        <v>1187979.25125106</v>
      </c>
      <c r="F24" s="37" t="n">
        <f aca="false">F19+F21+F22+F23</f>
        <v>1526704.57201618</v>
      </c>
      <c r="G24" s="37" t="n">
        <f aca="false">G19+G21+G22+G23</f>
        <v>1202911.38832908</v>
      </c>
      <c r="H24" s="37" t="n">
        <f aca="false">H19+H21+H22+H23</f>
        <v>1641750.40273738</v>
      </c>
      <c r="I24" s="37" t="n">
        <f aca="false">I19+I21+I22+I23</f>
        <v>1391860.76897113</v>
      </c>
      <c r="J24" s="37" t="n">
        <f aca="false">J19+J21+J22+J23</f>
        <v>1799238.47827129</v>
      </c>
    </row>
    <row r="26" customFormat="false" ht="15" hidden="false" customHeight="false" outlineLevel="0" collapsed="false">
      <c r="A26" s="5" t="s">
        <v>138</v>
      </c>
      <c r="C26" s="29" t="n">
        <f aca="false">(Tenants!$C$5*'Lease CF'!C15+Tenants!$C$6*'Lease CF'!C27+Tenants!$C$7*'Lease CF'!C39+Tenants!$C$8*'Lease CF'!C51+Tenants!$C$9*'Lease CF'!C63+Tenants!$C$10*'Lease CF'!C75+Tenants!$C$11*'Lease CF'!C87)/Tenants!$C$12</f>
        <v>0.963709677419355</v>
      </c>
      <c r="D26" s="29" t="n">
        <f aca="false">(Tenants!$C$5*'Lease CF'!D15+Tenants!$C$6*'Lease CF'!D27+Tenants!$C$7*'Lease CF'!D39+Tenants!$C$8*'Lease CF'!D51+Tenants!$C$9*'Lease CF'!D63+Tenants!$C$10*'Lease CF'!D75+Tenants!$C$11*'Lease CF'!D87)/Tenants!$C$12</f>
        <v>0.992741935483871</v>
      </c>
      <c r="E26" s="29" t="n">
        <f aca="false">(Tenants!$C$5*'Lease CF'!E15+Tenants!$C$6*'Lease CF'!E27+Tenants!$C$7*'Lease CF'!E39+Tenants!$C$8*'Lease CF'!E51+Tenants!$C$9*'Lease CF'!E63+Tenants!$C$10*'Lease CF'!E75+Tenants!$C$11*'Lease CF'!E87)/Tenants!$C$12</f>
        <v>0.994354838709677</v>
      </c>
      <c r="F26" s="29" t="n">
        <f aca="false">(Tenants!$C$5*'Lease CF'!F15+Tenants!$C$6*'Lease CF'!F27+Tenants!$C$7*'Lease CF'!F39+Tenants!$C$8*'Lease CF'!F51+Tenants!$C$9*'Lease CF'!F63+Tenants!$C$10*'Lease CF'!F75+Tenants!$C$11*'Lease CF'!F87)/Tenants!$C$12</f>
        <v>1</v>
      </c>
      <c r="G26" s="29" t="n">
        <f aca="false">(Tenants!$C$5*'Lease CF'!G15+Tenants!$C$6*'Lease CF'!G27+Tenants!$C$7*'Lease CF'!G39+Tenants!$C$8*'Lease CF'!G51+Tenants!$C$9*'Lease CF'!G63+Tenants!$C$10*'Lease CF'!G75+Tenants!$C$11*'Lease CF'!G87)/Tenants!$C$12</f>
        <v>0.926612903225807</v>
      </c>
      <c r="H26" s="29" t="n">
        <f aca="false">(Tenants!$C$5*'Lease CF'!H15+Tenants!$C$6*'Lease CF'!H27+Tenants!$C$7*'Lease CF'!H39+Tenants!$C$8*'Lease CF'!H51+Tenants!$C$9*'Lease CF'!H63+Tenants!$C$10*'Lease CF'!H75+Tenants!$C$11*'Lease CF'!H87)/Tenants!$C$12</f>
        <v>1</v>
      </c>
      <c r="I26" s="29" t="n">
        <f aca="false">(Tenants!$C$5*'Lease CF'!I15+Tenants!$C$6*'Lease CF'!I27+Tenants!$C$7*'Lease CF'!I39+Tenants!$C$8*'Lease CF'!I51+Tenants!$C$9*'Lease CF'!I63+Tenants!$C$10*'Lease CF'!I75+Tenants!$C$11*'Lease CF'!I87)/Tenants!$C$12</f>
        <v>1</v>
      </c>
      <c r="J26" s="29" t="n">
        <f aca="false">(Tenants!$C$5*'Lease CF'!J15+Tenants!$C$6*'Lease CF'!J27+Tenants!$C$7*'Lease CF'!J39+Tenants!$C$8*'Lease CF'!J51+Tenants!$C$9*'Lease CF'!J63+Tenants!$C$10*'Lease CF'!J75+Tenants!$C$11*'Lease CF'!J87)/Tenants!$C$12</f>
        <v>1</v>
      </c>
    </row>
    <row r="27" customFormat="false" ht="15" hidden="false" customHeight="false" outlineLevel="0" collapsed="false">
      <c r="A27" s="5" t="s">
        <v>139</v>
      </c>
      <c r="C27" s="41" t="n">
        <f aca="false">C19/Tenants!$C$12</f>
        <v>10.5071895564516</v>
      </c>
      <c r="D27" s="41" t="n">
        <f aca="false">D19/Tenants!$C$12</f>
        <v>11.0099111518145</v>
      </c>
      <c r="E27" s="41" t="n">
        <f aca="false">E19/Tenants!$C$12</f>
        <v>11.557259647186</v>
      </c>
      <c r="F27" s="41" t="n">
        <f aca="false">F19/Tenants!$C$12</f>
        <v>12.4760426952918</v>
      </c>
      <c r="G27" s="41" t="n">
        <f aca="false">G19/Tenants!$C$12</f>
        <v>11.605340889652</v>
      </c>
      <c r="H27" s="41" t="n">
        <f aca="false">H19/Tenants!$C$12</f>
        <v>13.4138137138658</v>
      </c>
      <c r="I27" s="41" t="n">
        <f aca="false">I19/Tenants!$C$12</f>
        <v>13.520345455352</v>
      </c>
      <c r="J27" s="41" t="n">
        <f aca="false">J19/Tenants!$C$12</f>
        <v>14.694468807808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property.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10" min="3" style="0" width="14"/>
  </cols>
  <sheetData>
    <row r="1" customFormat="false" ht="19.7" hidden="false" customHeight="false" outlineLevel="0" collapsed="false">
      <c r="A1" s="1" t="s">
        <v>140</v>
      </c>
    </row>
    <row r="2" customFormat="false" ht="15" hidden="false" customHeight="false" outlineLevel="0" collapsed="false">
      <c r="A2" s="2" t="s">
        <v>141</v>
      </c>
    </row>
    <row r="4" customFormat="false" ht="15" hidden="false" customHeight="false" outlineLevel="0" collapsed="false">
      <c r="A4" s="5" t="s">
        <v>6</v>
      </c>
      <c r="B4" s="36" t="n">
        <f aca="false">Assumptions!$B$5</f>
        <v>19200000</v>
      </c>
    </row>
    <row r="5" customFormat="false" ht="15" hidden="false" customHeight="false" outlineLevel="0" collapsed="false">
      <c r="A5" s="5" t="s">
        <v>36</v>
      </c>
      <c r="B5" s="29" t="n">
        <f aca="false">Assumptions!$B$7</f>
        <v>0.6</v>
      </c>
    </row>
    <row r="6" customFormat="false" ht="15" hidden="false" customHeight="false" outlineLevel="0" collapsed="false">
      <c r="A6" s="5" t="s">
        <v>20</v>
      </c>
      <c r="B6" s="36" t="n">
        <f aca="false">B4*B5</f>
        <v>11520000</v>
      </c>
    </row>
    <row r="7" customFormat="false" ht="15" hidden="false" customHeight="false" outlineLevel="0" collapsed="false">
      <c r="A7" s="5" t="s">
        <v>142</v>
      </c>
      <c r="B7" s="36" t="n">
        <f aca="false">-PMT(Assumptions!$B$8/12,Assumptions!$B$9*12,B6)</f>
        <v>79593.0077044969</v>
      </c>
    </row>
    <row r="8" customFormat="false" ht="15" hidden="false" customHeight="false" outlineLevel="0" collapsed="false">
      <c r="A8" s="5" t="s">
        <v>143</v>
      </c>
      <c r="B8" s="36" t="n">
        <f aca="false">B7*12</f>
        <v>955116.092453963</v>
      </c>
    </row>
    <row r="9" customFormat="false" ht="15" hidden="false" customHeight="false" outlineLevel="0" collapsed="false">
      <c r="A9" s="5" t="s">
        <v>144</v>
      </c>
      <c r="B9" s="36" t="n">
        <f aca="false">-FV(Assumptions!$B$8/12,7*12,-B7,B6)</f>
        <v>9937142.95992006</v>
      </c>
    </row>
    <row r="10" customFormat="false" ht="15" hidden="false" customHeight="false" outlineLevel="0" collapsed="false">
      <c r="A10" s="17" t="s">
        <v>145</v>
      </c>
      <c r="B10" s="42" t="n">
        <f aca="false">'Property CF'!C19/B4</f>
        <v>0.0678589325520833</v>
      </c>
    </row>
    <row r="11" customFormat="false" ht="15" hidden="false" customHeight="false" outlineLevel="0" collapsed="false">
      <c r="A11" s="17" t="s">
        <v>22</v>
      </c>
      <c r="B11" s="14" t="n">
        <f aca="false">'Property CF'!C19/B8</f>
        <v>1.3641184723969</v>
      </c>
    </row>
    <row r="12" customFormat="false" ht="15" hidden="false" customHeight="false" outlineLevel="0" collapsed="false">
      <c r="A12" s="5" t="s">
        <v>146</v>
      </c>
      <c r="B12" s="29" t="n">
        <f aca="false">'Property CF'!C19/B6</f>
        <v>0.113098220920139</v>
      </c>
    </row>
    <row r="14" customFormat="false" ht="15" hidden="false" customHeight="false" outlineLevel="0" collapsed="false">
      <c r="A14" s="24" t="s">
        <v>102</v>
      </c>
      <c r="B14" s="25"/>
      <c r="C14" s="25" t="s">
        <v>147</v>
      </c>
      <c r="D14" s="25" t="s">
        <v>103</v>
      </c>
      <c r="E14" s="25" t="s">
        <v>104</v>
      </c>
      <c r="F14" s="25" t="s">
        <v>105</v>
      </c>
      <c r="G14" s="25" t="s">
        <v>106</v>
      </c>
      <c r="H14" s="25" t="s">
        <v>107</v>
      </c>
      <c r="I14" s="25" t="s">
        <v>108</v>
      </c>
      <c r="J14" s="25" t="s">
        <v>109</v>
      </c>
    </row>
    <row r="15" customFormat="false" ht="15" hidden="false" customHeight="false" outlineLevel="0" collapsed="false">
      <c r="A15" s="5" t="s">
        <v>148</v>
      </c>
      <c r="D15" s="8" t="n">
        <f aca="false">'Property CF'!C19</f>
        <v>1302891.505</v>
      </c>
      <c r="E15" s="8" t="n">
        <f aca="false">'Property CF'!D19</f>
        <v>1365228.982825</v>
      </c>
      <c r="F15" s="8" t="n">
        <f aca="false">'Property CF'!E19</f>
        <v>1433100.19625106</v>
      </c>
      <c r="G15" s="8" t="n">
        <f aca="false">'Property CF'!F19</f>
        <v>1547029.29421618</v>
      </c>
      <c r="H15" s="8" t="n">
        <f aca="false">'Property CF'!G19</f>
        <v>1439062.27031685</v>
      </c>
      <c r="I15" s="8" t="n">
        <f aca="false">'Property CF'!H19</f>
        <v>1663312.90051936</v>
      </c>
      <c r="J15" s="8" t="n">
        <f aca="false">'Property CF'!I19</f>
        <v>1676522.83646364</v>
      </c>
    </row>
    <row r="16" customFormat="false" ht="15" hidden="false" customHeight="false" outlineLevel="0" collapsed="false">
      <c r="A16" s="5" t="s">
        <v>149</v>
      </c>
      <c r="D16" s="8" t="n">
        <f aca="false">'Property CF'!C21+'Property CF'!C22+'Property CF'!C23</f>
        <v>-65400</v>
      </c>
      <c r="E16" s="8" t="n">
        <f aca="false">'Property CF'!D21+'Property CF'!D22+'Property CF'!D23</f>
        <v>-196647.6</v>
      </c>
      <c r="F16" s="8" t="n">
        <f aca="false">'Property CF'!E21+'Property CF'!E22+'Property CF'!E23</f>
        <v>-245120.945</v>
      </c>
      <c r="G16" s="8" t="n">
        <f aca="false">'Property CF'!F21+'Property CF'!F22+'Property CF'!F23</f>
        <v>-20324.7222</v>
      </c>
      <c r="H16" s="8" t="n">
        <f aca="false">'Property CF'!G21+'Property CF'!G22+'Property CF'!G23</f>
        <v>-236150.88198777</v>
      </c>
      <c r="I16" s="8" t="n">
        <f aca="false">'Property CF'!H21+'Property CF'!H22+'Property CF'!H23</f>
        <v>-21562.49778198</v>
      </c>
      <c r="J16" s="8" t="n">
        <f aca="false">'Property CF'!I21+'Property CF'!I22+'Property CF'!I23</f>
        <v>-284662.067492514</v>
      </c>
    </row>
    <row r="17" customFormat="false" ht="15" hidden="false" customHeight="false" outlineLevel="0" collapsed="false">
      <c r="A17" s="5" t="s">
        <v>150</v>
      </c>
      <c r="D17" s="36" t="n">
        <f aca="false">-$B$8</f>
        <v>-955116.092453963</v>
      </c>
      <c r="E17" s="36" t="n">
        <f aca="false">-$B$8</f>
        <v>-955116.092453963</v>
      </c>
      <c r="F17" s="36" t="n">
        <f aca="false">-$B$8</f>
        <v>-955116.092453963</v>
      </c>
      <c r="G17" s="36" t="n">
        <f aca="false">-$B$8</f>
        <v>-955116.092453963</v>
      </c>
      <c r="H17" s="36" t="n">
        <f aca="false">-$B$8</f>
        <v>-955116.092453963</v>
      </c>
      <c r="I17" s="36" t="n">
        <f aca="false">-$B$8</f>
        <v>-955116.092453963</v>
      </c>
      <c r="J17" s="36" t="n">
        <f aca="false">-$B$8</f>
        <v>-955116.092453963</v>
      </c>
    </row>
    <row r="18" customFormat="false" ht="15" hidden="false" customHeight="false" outlineLevel="0" collapsed="false">
      <c r="A18" s="31" t="s">
        <v>151</v>
      </c>
      <c r="B18" s="32"/>
      <c r="D18" s="37" t="n">
        <f aca="false">SUM(D15:D17)</f>
        <v>282375.412546037</v>
      </c>
      <c r="E18" s="37" t="n">
        <f aca="false">SUM(E15:E17)</f>
        <v>213465.290371037</v>
      </c>
      <c r="F18" s="37" t="n">
        <f aca="false">SUM(F15:F17)</f>
        <v>232863.1587971</v>
      </c>
      <c r="G18" s="37" t="n">
        <f aca="false">SUM(G15:G17)</f>
        <v>571588.479562217</v>
      </c>
      <c r="H18" s="37" t="n">
        <f aca="false">SUM(H15:H17)</f>
        <v>247795.295875118</v>
      </c>
      <c r="I18" s="37" t="n">
        <f aca="false">SUM(I15:I17)</f>
        <v>686634.310283415</v>
      </c>
      <c r="J18" s="37" t="n">
        <f aca="false">SUM(J15:J17)</f>
        <v>436744.676517168</v>
      </c>
    </row>
    <row r="20" customFormat="false" ht="15" hidden="false" customHeight="false" outlineLevel="0" collapsed="false">
      <c r="A20" s="3" t="s">
        <v>152</v>
      </c>
      <c r="B20" s="4"/>
      <c r="C20" s="4"/>
      <c r="D20" s="4"/>
      <c r="E20" s="4"/>
      <c r="F20" s="4"/>
      <c r="G20" s="4"/>
      <c r="H20" s="4"/>
      <c r="I20" s="4"/>
      <c r="J20" s="4"/>
    </row>
    <row r="21" customFormat="false" ht="15" hidden="false" customHeight="false" outlineLevel="0" collapsed="false">
      <c r="A21" s="5" t="s">
        <v>153</v>
      </c>
      <c r="B21" s="36" t="n">
        <f aca="false">'Property CF'!J19</f>
        <v>1822114.13216819</v>
      </c>
    </row>
    <row r="22" customFormat="false" ht="15" hidden="false" customHeight="false" outlineLevel="0" collapsed="false">
      <c r="A22" s="5" t="s">
        <v>5</v>
      </c>
      <c r="B22" s="43" t="n">
        <f aca="false">Assumptions!$B$11</f>
        <v>0.0725</v>
      </c>
    </row>
    <row r="23" customFormat="false" ht="15" hidden="false" customHeight="false" outlineLevel="0" collapsed="false">
      <c r="A23" s="5" t="s">
        <v>9</v>
      </c>
      <c r="B23" s="36" t="n">
        <f aca="false">B21/B22</f>
        <v>25132608.7195613</v>
      </c>
    </row>
    <row r="24" customFormat="false" ht="15" hidden="false" customHeight="false" outlineLevel="0" collapsed="false">
      <c r="A24" s="5" t="s">
        <v>154</v>
      </c>
      <c r="B24" s="36" t="n">
        <f aca="false">-B23*Assumptions!$B$12</f>
        <v>-376989.130793419</v>
      </c>
    </row>
    <row r="25" customFormat="false" ht="15" hidden="false" customHeight="false" outlineLevel="0" collapsed="false">
      <c r="A25" s="5" t="s">
        <v>155</v>
      </c>
      <c r="B25" s="36" t="n">
        <f aca="false">-B9</f>
        <v>-9937142.95992006</v>
      </c>
    </row>
    <row r="26" customFormat="false" ht="15" hidden="false" customHeight="false" outlineLevel="0" collapsed="false">
      <c r="A26" s="17" t="s">
        <v>156</v>
      </c>
      <c r="B26" s="44" t="n">
        <f aca="false">SUM(B23:B25)</f>
        <v>14818476.6288478</v>
      </c>
    </row>
    <row r="28" customFormat="false" ht="15" hidden="false" customHeight="false" outlineLevel="0" collapsed="false">
      <c r="A28" s="3" t="s">
        <v>157</v>
      </c>
      <c r="B28" s="4"/>
      <c r="C28" s="4"/>
      <c r="D28" s="4"/>
      <c r="E28" s="4"/>
      <c r="F28" s="4"/>
      <c r="G28" s="4"/>
      <c r="H28" s="4"/>
      <c r="I28" s="4"/>
      <c r="J28" s="4"/>
    </row>
    <row r="29" customFormat="false" ht="15" hidden="false" customHeight="false" outlineLevel="0" collapsed="false">
      <c r="A29" s="5" t="s">
        <v>158</v>
      </c>
      <c r="C29" s="36" t="n">
        <f aca="false">-(Assumptions!$B$5*(1+Assumptions!$B$6)-B6)</f>
        <v>-7968000</v>
      </c>
    </row>
    <row r="30" customFormat="false" ht="15" hidden="false" customHeight="false" outlineLevel="0" collapsed="false">
      <c r="A30" s="31" t="s">
        <v>159</v>
      </c>
      <c r="B30" s="32"/>
      <c r="C30" s="37" t="n">
        <f aca="false">C29</f>
        <v>-7968000</v>
      </c>
      <c r="D30" s="37" t="n">
        <f aca="false">D18</f>
        <v>282375.412546037</v>
      </c>
      <c r="E30" s="37" t="n">
        <f aca="false">E18</f>
        <v>213465.290371037</v>
      </c>
      <c r="F30" s="37" t="n">
        <f aca="false">F18</f>
        <v>232863.1587971</v>
      </c>
      <c r="G30" s="37" t="n">
        <f aca="false">G18</f>
        <v>571588.479562217</v>
      </c>
      <c r="H30" s="37" t="n">
        <f aca="false">H18</f>
        <v>247795.295875118</v>
      </c>
      <c r="I30" s="37" t="n">
        <f aca="false">I18</f>
        <v>686634.310283415</v>
      </c>
      <c r="J30" s="37" t="n">
        <f aca="false">J18+$B$26</f>
        <v>15255221.3053649</v>
      </c>
    </row>
    <row r="32" customFormat="false" ht="15" hidden="false" customHeight="false" outlineLevel="0" collapsed="false">
      <c r="A32" s="17" t="s">
        <v>160</v>
      </c>
      <c r="C32" s="12" t="n">
        <f aca="false">IRR(C30:J30)</f>
        <v>0.127993959843652</v>
      </c>
    </row>
    <row r="33" customFormat="false" ht="15" hidden="false" customHeight="false" outlineLevel="0" collapsed="false">
      <c r="A33" s="17" t="s">
        <v>15</v>
      </c>
      <c r="C33" s="14" t="n">
        <f aca="false">SUM(D30:J30)/-C30</f>
        <v>2.19502299859436</v>
      </c>
    </row>
    <row r="34" customFormat="false" ht="15" hidden="false" customHeight="false" outlineLevel="0" collapsed="false">
      <c r="A34" s="5" t="s">
        <v>161</v>
      </c>
      <c r="C34" s="45" t="n">
        <f aca="false">AVERAGE(D18:J18)/-C29</f>
        <v>0.0478963465281141</v>
      </c>
    </row>
    <row r="35" customFormat="false" ht="15" hidden="false" customHeight="false" outlineLevel="0" collapsed="false">
      <c r="A35" s="5" t="s">
        <v>19</v>
      </c>
      <c r="C35" s="44" t="n">
        <f aca="false">SUM(C30:J30)</f>
        <v>9521943.25279987</v>
      </c>
    </row>
    <row r="36" customFormat="false" ht="15" hidden="false" customHeight="false" outlineLevel="0" collapsed="false">
      <c r="A36" s="5" t="s">
        <v>11</v>
      </c>
      <c r="C36" s="44" t="n">
        <f aca="false">-C29</f>
        <v>7968000</v>
      </c>
    </row>
    <row r="38" customFormat="false" ht="15" hidden="false" customHeight="false" outlineLevel="0" collapsed="false">
      <c r="A38" s="5" t="s">
        <v>162</v>
      </c>
      <c r="D38" s="46" t="n">
        <f aca="false">D15/$B$8</f>
        <v>1.3641184723969</v>
      </c>
      <c r="E38" s="46" t="n">
        <f aca="false">E15/$B$8</f>
        <v>1.42938538425977</v>
      </c>
      <c r="F38" s="46" t="n">
        <f aca="false">F15/$B$8</f>
        <v>1.50044607935463</v>
      </c>
      <c r="G38" s="46" t="n">
        <f aca="false">G15/$B$8</f>
        <v>1.61972906376378</v>
      </c>
      <c r="H38" s="46" t="n">
        <f aca="false">H15/$B$8</f>
        <v>1.50668833002226</v>
      </c>
      <c r="I38" s="46" t="n">
        <f aca="false">I15/$B$8</f>
        <v>1.74147720225909</v>
      </c>
      <c r="J38" s="46" t="n">
        <f aca="false">J15/$B$8</f>
        <v>1.7553079146182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property.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0"/>
    <col collapsed="false" customWidth="true" hidden="false" outlineLevel="0" max="4" min="3" style="0" width="12"/>
    <col collapsed="false" customWidth="true" hidden="false" outlineLevel="0" max="6" min="5" style="0" width="14"/>
    <col collapsed="false" customWidth="true" hidden="false" outlineLevel="0" max="8" min="7" style="0" width="12"/>
  </cols>
  <sheetData>
    <row r="1" customFormat="false" ht="19.7" hidden="false" customHeight="false" outlineLevel="0" collapsed="false">
      <c r="A1" s="1" t="s">
        <v>163</v>
      </c>
    </row>
    <row r="2" customFormat="false" ht="15" hidden="false" customHeight="false" outlineLevel="0" collapsed="false">
      <c r="A2" s="2" t="s">
        <v>164</v>
      </c>
    </row>
    <row r="4" customFormat="false" ht="23.85" hidden="false" customHeight="false" outlineLevel="0" collapsed="false">
      <c r="A4" s="24" t="s">
        <v>60</v>
      </c>
      <c r="B4" s="25" t="s">
        <v>61</v>
      </c>
      <c r="C4" s="25" t="s">
        <v>62</v>
      </c>
      <c r="D4" s="25" t="s">
        <v>165</v>
      </c>
      <c r="E4" s="25" t="s">
        <v>166</v>
      </c>
      <c r="F4" s="25" t="s">
        <v>167</v>
      </c>
      <c r="G4" s="25" t="s">
        <v>168</v>
      </c>
      <c r="H4" s="25" t="s">
        <v>169</v>
      </c>
    </row>
    <row r="5" customFormat="false" ht="15" hidden="false" customHeight="false" outlineLevel="0" collapsed="false">
      <c r="A5" s="47" t="str">
        <f aca="false">Tenants!A5</f>
        <v>Tenant 1</v>
      </c>
      <c r="B5" s="47" t="str">
        <f aca="false">Tenants!B5</f>
        <v>Industrial distribution</v>
      </c>
      <c r="C5" s="10" t="n">
        <f aca="false">Tenants!C5</f>
        <v>52000</v>
      </c>
      <c r="D5" s="11" t="n">
        <f aca="false">Tenants!Q5</f>
        <v>0.419354838709677</v>
      </c>
      <c r="E5" s="36" t="n">
        <f aca="false">Tenants!C5*Tenants!E5</f>
        <v>436800</v>
      </c>
      <c r="F5" s="41" t="n">
        <f aca="false">IF(C5=0,0,E5/C5)</f>
        <v>8.4</v>
      </c>
      <c r="G5" s="13" t="n">
        <f aca="false">Tenants!G5</f>
        <v>4.5</v>
      </c>
      <c r="H5" s="48" t="n">
        <f aca="false">IF(Tenants!R5=99,"after 8",Tenants!R5)</f>
        <v>5</v>
      </c>
    </row>
    <row r="6" customFormat="false" ht="15" hidden="false" customHeight="false" outlineLevel="0" collapsed="false">
      <c r="A6" s="47" t="str">
        <f aca="false">Tenants!A6</f>
        <v>Tenant 2</v>
      </c>
      <c r="B6" s="47" t="str">
        <f aca="false">Tenants!B6</f>
        <v>Light industrial / flex</v>
      </c>
      <c r="C6" s="10" t="n">
        <f aca="false">Tenants!C6</f>
        <v>24000</v>
      </c>
      <c r="D6" s="11" t="n">
        <f aca="false">Tenants!Q6</f>
        <v>0.193548387096774</v>
      </c>
      <c r="E6" s="36" t="n">
        <f aca="false">Tenants!C6*Tenants!E6</f>
        <v>244800</v>
      </c>
      <c r="F6" s="41" t="n">
        <f aca="false">IF(C6=0,0,E6/C6)</f>
        <v>10.2</v>
      </c>
      <c r="G6" s="13" t="n">
        <f aca="false">Tenants!G6</f>
        <v>2</v>
      </c>
      <c r="H6" s="48" t="n">
        <f aca="false">IF(Tenants!R6=99,"after 8",Tenants!R6)</f>
        <v>2</v>
      </c>
    </row>
    <row r="7" customFormat="false" ht="15" hidden="false" customHeight="false" outlineLevel="0" collapsed="false">
      <c r="A7" s="47" t="str">
        <f aca="false">Tenants!A7</f>
        <v>Tenant 3</v>
      </c>
      <c r="B7" s="47" t="str">
        <f aca="false">Tenants!B7</f>
        <v>Retail anchor (grocery)</v>
      </c>
      <c r="C7" s="10" t="n">
        <f aca="false">Tenants!C7</f>
        <v>28000</v>
      </c>
      <c r="D7" s="11" t="n">
        <f aca="false">Tenants!Q7</f>
        <v>0.225806451612903</v>
      </c>
      <c r="E7" s="36" t="n">
        <f aca="false">Tenants!C7*Tenants!E7</f>
        <v>406000</v>
      </c>
      <c r="F7" s="41" t="n">
        <f aca="false">IF(C7=0,0,E7/C7)</f>
        <v>14.5</v>
      </c>
      <c r="G7" s="13" t="n">
        <f aca="false">Tenants!G7</f>
        <v>7</v>
      </c>
      <c r="H7" s="48" t="n">
        <f aca="false">IF(Tenants!R7=99,"after 8",Tenants!R7)</f>
        <v>7</v>
      </c>
    </row>
    <row r="8" customFormat="false" ht="15" hidden="false" customHeight="false" outlineLevel="0" collapsed="false">
      <c r="A8" s="47" t="str">
        <f aca="false">Tenants!A8</f>
        <v>Tenant 4</v>
      </c>
      <c r="B8" s="47" t="str">
        <f aca="false">Tenants!B8</f>
        <v>Retail inline (restaurant)</v>
      </c>
      <c r="C8" s="10" t="n">
        <f aca="false">Tenants!C8</f>
        <v>6000</v>
      </c>
      <c r="D8" s="11" t="n">
        <f aca="false">Tenants!Q8</f>
        <v>0.0483870967741936</v>
      </c>
      <c r="E8" s="36" t="n">
        <f aca="false">Tenants!C8*Tenants!E8</f>
        <v>156000</v>
      </c>
      <c r="F8" s="41" t="n">
        <f aca="false">IF(C8=0,0,E8/C8)</f>
        <v>26</v>
      </c>
      <c r="G8" s="13" t="n">
        <f aca="false">Tenants!G8</f>
        <v>3</v>
      </c>
      <c r="H8" s="48" t="n">
        <f aca="false">IF(Tenants!R8=99,"after 8",Tenants!R8)</f>
        <v>3</v>
      </c>
    </row>
    <row r="9" customFormat="false" ht="15" hidden="false" customHeight="false" outlineLevel="0" collapsed="false">
      <c r="A9" s="47" t="str">
        <f aca="false">Tenants!A9</f>
        <v>Tenant 5</v>
      </c>
      <c r="B9" s="47" t="str">
        <f aca="false">Tenants!B9</f>
        <v>Retail inline (services)</v>
      </c>
      <c r="C9" s="10" t="n">
        <f aca="false">Tenants!C9</f>
        <v>4500</v>
      </c>
      <c r="D9" s="11" t="n">
        <f aca="false">Tenants!Q9</f>
        <v>0.0362903225806452</v>
      </c>
      <c r="E9" s="36" t="n">
        <f aca="false">Tenants!C9*Tenants!E9</f>
        <v>99000</v>
      </c>
      <c r="F9" s="41" t="n">
        <f aca="false">IF(C9=0,0,E9/C9)</f>
        <v>22</v>
      </c>
      <c r="G9" s="13" t="n">
        <f aca="false">Tenants!G9</f>
        <v>1.5</v>
      </c>
      <c r="H9" s="48" t="n">
        <f aca="false">IF(Tenants!R9=99,"after 8",Tenants!R9)</f>
        <v>2</v>
      </c>
    </row>
    <row r="10" customFormat="false" ht="15" hidden="false" customHeight="false" outlineLevel="0" collapsed="false">
      <c r="A10" s="47" t="str">
        <f aca="false">Tenants!A10</f>
        <v>Tenant 6</v>
      </c>
      <c r="B10" s="47" t="str">
        <f aca="false">Tenants!B10</f>
        <v>Office (professional services)</v>
      </c>
      <c r="C10" s="10" t="n">
        <f aca="false">Tenants!C10</f>
        <v>3500</v>
      </c>
      <c r="D10" s="11" t="n">
        <f aca="false">Tenants!Q10</f>
        <v>0.0282258064516129</v>
      </c>
      <c r="E10" s="36" t="n">
        <f aca="false">Tenants!C10*Tenants!E10</f>
        <v>85750</v>
      </c>
      <c r="F10" s="41" t="n">
        <f aca="false">IF(C10=0,0,E10/C10)</f>
        <v>24.5</v>
      </c>
      <c r="G10" s="13" t="n">
        <f aca="false">Tenants!G10</f>
        <v>2.5</v>
      </c>
      <c r="H10" s="48" t="n">
        <f aca="false">IF(Tenants!R10=99,"after 8",Tenants!R10)</f>
        <v>3</v>
      </c>
    </row>
    <row r="11" customFormat="false" ht="15" hidden="false" customHeight="false" outlineLevel="0" collapsed="false">
      <c r="A11" s="47" t="str">
        <f aca="false">Tenants!A11</f>
        <v>Suite 7 (vacant)</v>
      </c>
      <c r="B11" s="47" t="str">
        <f aca="false">Tenants!B11</f>
        <v>Flex, currently vacant</v>
      </c>
      <c r="C11" s="10" t="n">
        <f aca="false">Tenants!C11</f>
        <v>6000</v>
      </c>
      <c r="D11" s="11" t="n">
        <f aca="false">Tenants!Q11</f>
        <v>0.0483870967741936</v>
      </c>
      <c r="E11" s="36" t="n">
        <f aca="false">Tenants!C11*Tenants!E11</f>
        <v>0</v>
      </c>
      <c r="F11" s="41" t="n">
        <f aca="false">IF(C11=0,0,E11/C11)</f>
        <v>0</v>
      </c>
      <c r="G11" s="13" t="n">
        <f aca="false">Tenants!G11</f>
        <v>0</v>
      </c>
      <c r="H11" s="48" t="n">
        <f aca="false">IF(Tenants!R11=99,"after 8",Tenants!R11)</f>
        <v>1</v>
      </c>
    </row>
    <row r="12" customFormat="false" ht="15" hidden="false" customHeight="false" outlineLevel="0" collapsed="false">
      <c r="A12" s="31" t="s">
        <v>94</v>
      </c>
      <c r="B12" s="32"/>
      <c r="C12" s="33" t="n">
        <f aca="false">SUM(C5:C11)</f>
        <v>124000</v>
      </c>
      <c r="D12" s="34" t="n">
        <f aca="false">SUM(D5:D11)</f>
        <v>1</v>
      </c>
      <c r="E12" s="37" t="n">
        <f aca="false">SUM(E5:E11)</f>
        <v>1428350</v>
      </c>
      <c r="F12" s="32"/>
      <c r="G12" s="32"/>
      <c r="H12" s="32"/>
    </row>
    <row r="14" customFormat="false" ht="15" hidden="false" customHeight="false" outlineLevel="0" collapsed="false">
      <c r="A14" s="17" t="s">
        <v>170</v>
      </c>
      <c r="C14" s="12" t="n">
        <f aca="false">SUMIF(G5:G11,"&gt;0",C5:C11)/C12</f>
        <v>0.951612903225807</v>
      </c>
    </row>
    <row r="15" customFormat="false" ht="15" hidden="false" customHeight="false" outlineLevel="0" collapsed="false">
      <c r="A15" s="17" t="s">
        <v>171</v>
      </c>
      <c r="C15" s="49" t="n">
        <f aca="false">SUMPRODUCT(C5:C11,G5:G11)/SUMIF(G5:G11,"&gt;0",C5:C11)</f>
        <v>4.33474576271186</v>
      </c>
    </row>
    <row r="16" customFormat="false" ht="15" hidden="false" customHeight="false" outlineLevel="0" collapsed="false">
      <c r="A16" s="17" t="s">
        <v>172</v>
      </c>
      <c r="C16" s="49" t="n">
        <f aca="false">SUMPRODUCT(E5:E11,G5:G11)/E12</f>
        <v>4.29031749921238</v>
      </c>
    </row>
    <row r="18" customFormat="false" ht="15" hidden="false" customHeight="false" outlineLevel="0" collapsed="false">
      <c r="A18" s="3" t="s">
        <v>173</v>
      </c>
      <c r="B18" s="4"/>
      <c r="C18" s="4"/>
      <c r="D18" s="4"/>
      <c r="E18" s="4"/>
      <c r="F18" s="4"/>
      <c r="G18" s="4"/>
      <c r="H18" s="4"/>
    </row>
    <row r="19" customFormat="false" ht="15" hidden="false" customHeight="false" outlineLevel="0" collapsed="false">
      <c r="A19" s="24" t="s">
        <v>174</v>
      </c>
      <c r="B19" s="25"/>
      <c r="C19" s="25" t="s">
        <v>175</v>
      </c>
      <c r="D19" s="25" t="s">
        <v>165</v>
      </c>
      <c r="E19" s="25" t="s">
        <v>176</v>
      </c>
    </row>
    <row r="20" customFormat="false" ht="15" hidden="false" customHeight="false" outlineLevel="0" collapsed="false">
      <c r="A20" s="50" t="n">
        <v>1</v>
      </c>
      <c r="C20" s="51" t="n">
        <f aca="false">SUMIF(Tenants!$R$5:$R$11,A20,Tenants!$C$5:$C$11)</f>
        <v>6000</v>
      </c>
      <c r="D20" s="29" t="n">
        <f aca="false">C20/Tenants!$C$12</f>
        <v>0.0483870967741936</v>
      </c>
      <c r="E20" s="36" t="n">
        <f aca="false">SUMPRODUCT((Tenants!$R$5:$R$11=A20)*Tenants!$C$5:$C$11*Tenants!$E$5:$E$11)</f>
        <v>0</v>
      </c>
    </row>
    <row r="21" customFormat="false" ht="15" hidden="false" customHeight="false" outlineLevel="0" collapsed="false">
      <c r="A21" s="50" t="n">
        <v>2</v>
      </c>
      <c r="C21" s="51" t="n">
        <f aca="false">SUMIF(Tenants!$R$5:$R$11,A21,Tenants!$C$5:$C$11)</f>
        <v>28500</v>
      </c>
      <c r="D21" s="29" t="n">
        <f aca="false">C21/Tenants!$C$12</f>
        <v>0.229838709677419</v>
      </c>
      <c r="E21" s="36" t="n">
        <f aca="false">SUMPRODUCT((Tenants!$R$5:$R$11=A21)*Tenants!$C$5:$C$11*Tenants!$E$5:$E$11)</f>
        <v>343800</v>
      </c>
    </row>
    <row r="22" customFormat="false" ht="15" hidden="false" customHeight="false" outlineLevel="0" collapsed="false">
      <c r="A22" s="50" t="n">
        <v>3</v>
      </c>
      <c r="C22" s="51" t="n">
        <f aca="false">SUMIF(Tenants!$R$5:$R$11,A22,Tenants!$C$5:$C$11)</f>
        <v>9500</v>
      </c>
      <c r="D22" s="29" t="n">
        <f aca="false">C22/Tenants!$C$12</f>
        <v>0.0766129032258065</v>
      </c>
      <c r="E22" s="36" t="n">
        <f aca="false">SUMPRODUCT((Tenants!$R$5:$R$11=A22)*Tenants!$C$5:$C$11*Tenants!$E$5:$E$11)</f>
        <v>241750</v>
      </c>
    </row>
    <row r="23" customFormat="false" ht="15" hidden="false" customHeight="false" outlineLevel="0" collapsed="false">
      <c r="A23" s="50" t="n">
        <v>4</v>
      </c>
      <c r="C23" s="51" t="n">
        <f aca="false">SUMIF(Tenants!$R$5:$R$11,A23,Tenants!$C$5:$C$11)</f>
        <v>0</v>
      </c>
      <c r="D23" s="29" t="n">
        <f aca="false">C23/Tenants!$C$12</f>
        <v>0</v>
      </c>
      <c r="E23" s="36" t="n">
        <f aca="false">SUMPRODUCT((Tenants!$R$5:$R$11=A23)*Tenants!$C$5:$C$11*Tenants!$E$5:$E$11)</f>
        <v>0</v>
      </c>
    </row>
    <row r="24" customFormat="false" ht="15" hidden="false" customHeight="false" outlineLevel="0" collapsed="false">
      <c r="A24" s="50" t="n">
        <v>5</v>
      </c>
      <c r="C24" s="51" t="n">
        <f aca="false">SUMIF(Tenants!$R$5:$R$11,A24,Tenants!$C$5:$C$11)</f>
        <v>52000</v>
      </c>
      <c r="D24" s="29" t="n">
        <f aca="false">C24/Tenants!$C$12</f>
        <v>0.419354838709677</v>
      </c>
      <c r="E24" s="36" t="n">
        <f aca="false">SUMPRODUCT((Tenants!$R$5:$R$11=A24)*Tenants!$C$5:$C$11*Tenants!$E$5:$E$11)</f>
        <v>436800</v>
      </c>
    </row>
    <row r="25" customFormat="false" ht="15" hidden="false" customHeight="false" outlineLevel="0" collapsed="false">
      <c r="A25" s="50" t="n">
        <v>6</v>
      </c>
      <c r="C25" s="51" t="n">
        <f aca="false">SUMIF(Tenants!$R$5:$R$11,A25,Tenants!$C$5:$C$11)</f>
        <v>0</v>
      </c>
      <c r="D25" s="29" t="n">
        <f aca="false">C25/Tenants!$C$12</f>
        <v>0</v>
      </c>
      <c r="E25" s="36" t="n">
        <f aca="false">SUMPRODUCT((Tenants!$R$5:$R$11=A25)*Tenants!$C$5:$C$11*Tenants!$E$5:$E$11)</f>
        <v>0</v>
      </c>
    </row>
    <row r="26" customFormat="false" ht="15" hidden="false" customHeight="false" outlineLevel="0" collapsed="false">
      <c r="A26" s="50" t="n">
        <v>7</v>
      </c>
      <c r="C26" s="51" t="n">
        <f aca="false">SUMIF(Tenants!$R$5:$R$11,A26,Tenants!$C$5:$C$11)</f>
        <v>28000</v>
      </c>
      <c r="D26" s="29" t="n">
        <f aca="false">C26/Tenants!$C$12</f>
        <v>0.225806451612903</v>
      </c>
      <c r="E26" s="36" t="n">
        <f aca="false">SUMPRODUCT((Tenants!$R$5:$R$11=A26)*Tenants!$C$5:$C$11*Tenants!$E$5:$E$11)</f>
        <v>406000</v>
      </c>
    </row>
    <row r="27" customFormat="false" ht="15" hidden="false" customHeight="false" outlineLevel="0" collapsed="false">
      <c r="A27" s="50" t="n">
        <v>8</v>
      </c>
      <c r="C27" s="51" t="n">
        <f aca="false">SUMIF(Tenants!$R$5:$R$11,A27,Tenants!$C$5:$C$11)</f>
        <v>0</v>
      </c>
      <c r="D27" s="29" t="n">
        <f aca="false">C27/Tenants!$C$12</f>
        <v>0</v>
      </c>
      <c r="E27" s="36" t="n">
        <f aca="false">SUMPRODUCT((Tenants!$R$5:$R$11=A27)*Tenants!$C$5:$C$11*Tenants!$E$5:$E$11)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property.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9" min="2" style="0" width="14"/>
    <col collapsed="false" customWidth="true" hidden="false" outlineLevel="0" max="11" min="10" style="0" width="12"/>
  </cols>
  <sheetData>
    <row r="1" customFormat="false" ht="19.7" hidden="false" customHeight="false" outlineLevel="0" collapsed="false">
      <c r="A1" s="1" t="s">
        <v>177</v>
      </c>
    </row>
    <row r="2" customFormat="false" ht="15" hidden="false" customHeight="false" outlineLevel="0" collapsed="false">
      <c r="A2" s="2" t="s">
        <v>178</v>
      </c>
    </row>
    <row r="4" customFormat="false" ht="15" hidden="false" customHeight="false" outlineLevel="0" collapsed="false">
      <c r="A4" s="17" t="s">
        <v>179</v>
      </c>
    </row>
    <row r="5" customFormat="false" ht="15" hidden="false" customHeight="false" outlineLevel="0" collapsed="false">
      <c r="A5" s="2" t="s">
        <v>180</v>
      </c>
      <c r="B5" s="52" t="n">
        <v>-0.1</v>
      </c>
      <c r="C5" s="52" t="n">
        <v>-0.05</v>
      </c>
      <c r="D5" s="52" t="n">
        <v>0</v>
      </c>
      <c r="E5" s="52" t="n">
        <v>0.05</v>
      </c>
      <c r="F5" s="52" t="n">
        <v>0.1</v>
      </c>
    </row>
    <row r="6" customFormat="false" ht="15" hidden="false" customHeight="false" outlineLevel="0" collapsed="false">
      <c r="A6" s="53" t="n">
        <v>0.0675</v>
      </c>
      <c r="B6" s="54" t="n">
        <f aca="false">K16</f>
        <v>0.181608890961602</v>
      </c>
      <c r="C6" s="54" t="n">
        <f aca="false">K17</f>
        <v>0.162697373150203</v>
      </c>
      <c r="D6" s="54" t="n">
        <f aca="false">K18</f>
        <v>0.144622269860865</v>
      </c>
      <c r="E6" s="54" t="n">
        <f aca="false">K19</f>
        <v>0.127258539341847</v>
      </c>
      <c r="F6" s="54" t="n">
        <f aca="false">K20</f>
        <v>0.110499342841572</v>
      </c>
    </row>
    <row r="7" customFormat="false" ht="15" hidden="false" customHeight="false" outlineLevel="0" collapsed="false">
      <c r="A7" s="53" t="n">
        <v>0.07</v>
      </c>
      <c r="B7" s="54" t="n">
        <f aca="false">K21</f>
        <v>0.173647413883119</v>
      </c>
      <c r="C7" s="54" t="n">
        <f aca="false">K22</f>
        <v>0.15451303027029</v>
      </c>
      <c r="D7" s="54" t="n">
        <f aca="false">K23</f>
        <v>0.136200937209267</v>
      </c>
      <c r="E7" s="54" t="n">
        <f aca="false">K24</f>
        <v>0.118584399816113</v>
      </c>
      <c r="F7" s="54" t="n">
        <f aca="false">K25</f>
        <v>0.101554706687463</v>
      </c>
    </row>
    <row r="8" customFormat="false" ht="15" hidden="false" customHeight="false" outlineLevel="0" collapsed="false">
      <c r="A8" s="53" t="n">
        <v>0.0725</v>
      </c>
      <c r="B8" s="54" t="n">
        <f aca="false">K26</f>
        <v>0.165915226477578</v>
      </c>
      <c r="C8" s="54" t="n">
        <f aca="false">K27</f>
        <v>0.146551124940364</v>
      </c>
      <c r="D8" s="55" t="n">
        <f aca="false">K28</f>
        <v>0.127993959843653</v>
      </c>
      <c r="E8" s="54" t="n">
        <f aca="false">K29</f>
        <v>0.110115077234557</v>
      </c>
      <c r="F8" s="54" t="n">
        <f aca="false">K30</f>
        <v>0.092803618903339</v>
      </c>
    </row>
    <row r="9" customFormat="false" ht="15" hidden="false" customHeight="false" outlineLevel="0" collapsed="false">
      <c r="A9" s="53" t="n">
        <v>0.075</v>
      </c>
      <c r="B9" s="54" t="n">
        <f aca="false">K31</f>
        <v>0.158393647162757</v>
      </c>
      <c r="C9" s="54" t="n">
        <f aca="false">K32</f>
        <v>0.138792775519875</v>
      </c>
      <c r="D9" s="54" t="n">
        <f aca="false">K33</f>
        <v>0.119982153548385</v>
      </c>
      <c r="E9" s="54" t="n">
        <f aca="false">K34</f>
        <v>0.10183095142966</v>
      </c>
      <c r="F9" s="54" t="n">
        <f aca="false">K35</f>
        <v>0.0842258493202531</v>
      </c>
    </row>
    <row r="10" customFormat="false" ht="15" hidden="false" customHeight="false" outlineLevel="0" collapsed="false">
      <c r="A10" s="53" t="n">
        <v>0.0775</v>
      </c>
      <c r="B10" s="54" t="n">
        <f aca="false">K36</f>
        <v>0.151065822326151</v>
      </c>
      <c r="C10" s="54" t="n">
        <f aca="false">K37</f>
        <v>0.131220902023969</v>
      </c>
      <c r="D10" s="54" t="n">
        <f aca="false">K38</f>
        <v>0.112148100615456</v>
      </c>
      <c r="E10" s="54" t="n">
        <f aca="false">K39</f>
        <v>0.0937141203302971</v>
      </c>
      <c r="F10" s="54" t="n">
        <f aca="false">K40</f>
        <v>0.0758028177626132</v>
      </c>
    </row>
    <row r="12" customFormat="false" ht="15" hidden="false" customHeight="false" outlineLevel="0" collapsed="false">
      <c r="A12" s="2" t="s">
        <v>181</v>
      </c>
    </row>
    <row r="14" customFormat="false" ht="15" hidden="false" customHeight="false" outlineLevel="0" collapsed="false">
      <c r="A14" s="24" t="s">
        <v>182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customFormat="false" ht="15" hidden="false" customHeight="false" outlineLevel="0" collapsed="false">
      <c r="A15" s="24" t="s">
        <v>183</v>
      </c>
      <c r="B15" s="25" t="s">
        <v>184</v>
      </c>
      <c r="C15" s="25" t="s">
        <v>147</v>
      </c>
      <c r="D15" s="25" t="s">
        <v>103</v>
      </c>
      <c r="E15" s="25" t="s">
        <v>104</v>
      </c>
      <c r="F15" s="25" t="s">
        <v>105</v>
      </c>
      <c r="G15" s="25" t="s">
        <v>106</v>
      </c>
      <c r="H15" s="25" t="s">
        <v>107</v>
      </c>
      <c r="I15" s="25" t="s">
        <v>108</v>
      </c>
      <c r="J15" s="25" t="s">
        <v>109</v>
      </c>
      <c r="K15" s="25" t="s">
        <v>185</v>
      </c>
    </row>
    <row r="16" customFormat="false" ht="15" hidden="false" customHeight="false" outlineLevel="0" collapsed="false">
      <c r="A16" s="56" t="n">
        <f aca="false">$A$6</f>
        <v>0.0675</v>
      </c>
      <c r="B16" s="57" t="n">
        <f aca="false">B$5</f>
        <v>-0.1</v>
      </c>
      <c r="C16" s="36" t="n">
        <f aca="false">-((Assumptions!$B$5*(1+$B16))*(1+Assumptions!$B$6)-((Assumptions!$B$5*(1+$B16))*Assumptions!$B$7))</f>
        <v>-7171200</v>
      </c>
      <c r="D16" s="36" t="n">
        <f aca="false">Returns!D15+Returns!D16-(-PMT(Assumptions!$B$8/12,Assumptions!$B$9*12,((Assumptions!$B$5*(1+$B16))*Assumptions!$B$7))*12)</f>
        <v>377887.021791433</v>
      </c>
      <c r="E16" s="36" t="n">
        <f aca="false">Returns!E15+Returns!E16-(-PMT(Assumptions!$B$8/12,Assumptions!$B$9*12,((Assumptions!$B$5*(1+$B16))*Assumptions!$B$7))*12)</f>
        <v>308976.899616433</v>
      </c>
      <c r="F16" s="36" t="n">
        <f aca="false">Returns!F15+Returns!F16-(-PMT(Assumptions!$B$8/12,Assumptions!$B$9*12,((Assumptions!$B$5*(1+$B16))*Assumptions!$B$7))*12)</f>
        <v>328374.768042496</v>
      </c>
      <c r="G16" s="36" t="n">
        <f aca="false">Returns!G15+Returns!G16-(-PMT(Assumptions!$B$8/12,Assumptions!$B$9*12,((Assumptions!$B$5*(1+$B16))*Assumptions!$B$7))*12)</f>
        <v>667100.088807614</v>
      </c>
      <c r="H16" s="36" t="n">
        <f aca="false">Returns!H15+Returns!H16-(-PMT(Assumptions!$B$8/12,Assumptions!$B$9*12,((Assumptions!$B$5*(1+$B16))*Assumptions!$B$7))*12)</f>
        <v>343306.905120515</v>
      </c>
      <c r="I16" s="36" t="n">
        <f aca="false">Returns!I15+Returns!I16-(-PMT(Assumptions!$B$8/12,Assumptions!$B$9*12,((Assumptions!$B$5*(1+$B16))*Assumptions!$B$7))*12)</f>
        <v>782145.919528812</v>
      </c>
      <c r="J16" s="36" t="n">
        <f aca="false">Returns!J15+Returns!J16-(-PMT(Assumptions!$B$8/12,Assumptions!$B$9*12,((Assumptions!$B$5*(1+$B16))*Assumptions!$B$7))*12)+'Property CF'!$J$19/$A16*(1-Assumptions!$B$12)-(-FV(Assumptions!$B$8/12,7*12,(-PMT(Assumptions!$B$8/12,Assumptions!$B$9*12,((Assumptions!$B$5*(1+$B16))*Assumptions!$B$7))*12)/12*-1,((Assumptions!$B$5*(1+$B16))*Assumptions!$B$7)))</f>
        <v>18178196.8097703</v>
      </c>
      <c r="K16" s="57" t="n">
        <f aca="false">IRR(C16:J16)</f>
        <v>0.181608890961602</v>
      </c>
    </row>
    <row r="17" customFormat="false" ht="15" hidden="false" customHeight="false" outlineLevel="0" collapsed="false">
      <c r="A17" s="56" t="n">
        <f aca="false">$A$6</f>
        <v>0.0675</v>
      </c>
      <c r="B17" s="57" t="n">
        <f aca="false">C$5</f>
        <v>-0.05</v>
      </c>
      <c r="C17" s="36" t="n">
        <f aca="false">-((Assumptions!$B$5*(1+$B17))*(1+Assumptions!$B$6)-((Assumptions!$B$5*(1+$B17))*Assumptions!$B$7))</f>
        <v>-7569600</v>
      </c>
      <c r="D17" s="36" t="n">
        <f aca="false">Returns!D15+Returns!D16-(-PMT(Assumptions!$B$8/12,Assumptions!$B$9*12,((Assumptions!$B$5*(1+$B17))*Assumptions!$B$7))*12)</f>
        <v>330131.217168735</v>
      </c>
      <c r="E17" s="36" t="n">
        <f aca="false">Returns!E15+Returns!E16-(-PMT(Assumptions!$B$8/12,Assumptions!$B$9*12,((Assumptions!$B$5*(1+$B17))*Assumptions!$B$7))*12)</f>
        <v>261221.094993735</v>
      </c>
      <c r="F17" s="36" t="n">
        <f aca="false">Returns!F15+Returns!F16-(-PMT(Assumptions!$B$8/12,Assumptions!$B$9*12,((Assumptions!$B$5*(1+$B17))*Assumptions!$B$7))*12)</f>
        <v>280618.963419798</v>
      </c>
      <c r="G17" s="36" t="n">
        <f aca="false">Returns!G15+Returns!G16-(-PMT(Assumptions!$B$8/12,Assumptions!$B$9*12,((Assumptions!$B$5*(1+$B17))*Assumptions!$B$7))*12)</f>
        <v>619344.284184916</v>
      </c>
      <c r="H17" s="36" t="n">
        <f aca="false">Returns!H15+Returns!H16-(-PMT(Assumptions!$B$8/12,Assumptions!$B$9*12,((Assumptions!$B$5*(1+$B17))*Assumptions!$B$7))*12)</f>
        <v>295551.100497817</v>
      </c>
      <c r="I17" s="36" t="n">
        <f aca="false">Returns!I15+Returns!I16-(-PMT(Assumptions!$B$8/12,Assumptions!$B$9*12,((Assumptions!$B$5*(1+$B17))*Assumptions!$B$7))*12)</f>
        <v>734390.114906113</v>
      </c>
      <c r="J17" s="36" t="n">
        <f aca="false">Returns!J15+Returns!J16-(-PMT(Assumptions!$B$8/12,Assumptions!$B$9*12,((Assumptions!$B$5*(1+$B17))*Assumptions!$B$7))*12)+'Property CF'!$J$19/$A17*(1-Assumptions!$B$12)-(-FV(Assumptions!$B$8/12,7*12,(-PMT(Assumptions!$B$8/12,Assumptions!$B$9*12,((Assumptions!$B$5*(1+$B17))*Assumptions!$B$7))*12)/12*-1,((Assumptions!$B$5*(1+$B17))*Assumptions!$B$7)))</f>
        <v>17633583.8571516</v>
      </c>
      <c r="K17" s="57" t="n">
        <f aca="false">IRR(C17:J17)</f>
        <v>0.162697373150203</v>
      </c>
    </row>
    <row r="18" customFormat="false" ht="15" hidden="false" customHeight="false" outlineLevel="0" collapsed="false">
      <c r="A18" s="56" t="n">
        <f aca="false">$A$6</f>
        <v>0.0675</v>
      </c>
      <c r="B18" s="57" t="n">
        <f aca="false">D$5</f>
        <v>0</v>
      </c>
      <c r="C18" s="36" t="n">
        <f aca="false">-((Assumptions!$B$5*(1+$B18))*(1+Assumptions!$B$6)-((Assumptions!$B$5*(1+$B18))*Assumptions!$B$7))</f>
        <v>-7968000</v>
      </c>
      <c r="D18" s="36" t="n">
        <f aca="false">Returns!D15+Returns!D16-(-PMT(Assumptions!$B$8/12,Assumptions!$B$9*12,((Assumptions!$B$5*(1+$B18))*Assumptions!$B$7))*12)</f>
        <v>282375.412546037</v>
      </c>
      <c r="E18" s="36" t="n">
        <f aca="false">Returns!E15+Returns!E16-(-PMT(Assumptions!$B$8/12,Assumptions!$B$9*12,((Assumptions!$B$5*(1+$B18))*Assumptions!$B$7))*12)</f>
        <v>213465.290371037</v>
      </c>
      <c r="F18" s="36" t="n">
        <f aca="false">Returns!F15+Returns!F16-(-PMT(Assumptions!$B$8/12,Assumptions!$B$9*12,((Assumptions!$B$5*(1+$B18))*Assumptions!$B$7))*12)</f>
        <v>232863.1587971</v>
      </c>
      <c r="G18" s="36" t="n">
        <f aca="false">Returns!G15+Returns!G16-(-PMT(Assumptions!$B$8/12,Assumptions!$B$9*12,((Assumptions!$B$5*(1+$B18))*Assumptions!$B$7))*12)</f>
        <v>571588.479562217</v>
      </c>
      <c r="H18" s="36" t="n">
        <f aca="false">Returns!H15+Returns!H16-(-PMT(Assumptions!$B$8/12,Assumptions!$B$9*12,((Assumptions!$B$5*(1+$B18))*Assumptions!$B$7))*12)</f>
        <v>247795.295875118</v>
      </c>
      <c r="I18" s="36" t="n">
        <f aca="false">Returns!I15+Returns!I16-(-PMT(Assumptions!$B$8/12,Assumptions!$B$9*12,((Assumptions!$B$5*(1+$B18))*Assumptions!$B$7))*12)</f>
        <v>686634.310283415</v>
      </c>
      <c r="J18" s="36" t="n">
        <f aca="false">Returns!J15+Returns!J16-(-PMT(Assumptions!$B$8/12,Assumptions!$B$9*12,((Assumptions!$B$5*(1+$B18))*Assumptions!$B$7))*12)+'Property CF'!$J$19/$A18*(1-Assumptions!$B$12)-(-FV(Assumptions!$B$8/12,7*12,(-PMT(Assumptions!$B$8/12,Assumptions!$B$9*12,((Assumptions!$B$5*(1+$B18))*Assumptions!$B$7))*12)/12*-1,((Assumptions!$B$5*(1+$B18))*Assumptions!$B$7)))</f>
        <v>17088970.9045329</v>
      </c>
      <c r="K18" s="57" t="n">
        <f aca="false">IRR(C18:J18)</f>
        <v>0.144622269860865</v>
      </c>
    </row>
    <row r="19" customFormat="false" ht="15" hidden="false" customHeight="false" outlineLevel="0" collapsed="false">
      <c r="A19" s="56" t="n">
        <f aca="false">$A$6</f>
        <v>0.0675</v>
      </c>
      <c r="B19" s="57" t="n">
        <f aca="false">E$5</f>
        <v>0.05</v>
      </c>
      <c r="C19" s="36" t="n">
        <f aca="false">-((Assumptions!$B$5*(1+$B19))*(1+Assumptions!$B$6)-((Assumptions!$B$5*(1+$B19))*Assumptions!$B$7))</f>
        <v>-8366400</v>
      </c>
      <c r="D19" s="36" t="n">
        <f aca="false">Returns!D15+Returns!D16-(-PMT(Assumptions!$B$8/12,Assumptions!$B$9*12,((Assumptions!$B$5*(1+$B19))*Assumptions!$B$7))*12)</f>
        <v>234619.607923339</v>
      </c>
      <c r="E19" s="36" t="n">
        <f aca="false">Returns!E15+Returns!E16-(-PMT(Assumptions!$B$8/12,Assumptions!$B$9*12,((Assumptions!$B$5*(1+$B19))*Assumptions!$B$7))*12)</f>
        <v>165709.485748339</v>
      </c>
      <c r="F19" s="36" t="n">
        <f aca="false">Returns!F15+Returns!F16-(-PMT(Assumptions!$B$8/12,Assumptions!$B$9*12,((Assumptions!$B$5*(1+$B19))*Assumptions!$B$7))*12)</f>
        <v>185107.354174401</v>
      </c>
      <c r="G19" s="36" t="n">
        <f aca="false">Returns!G15+Returns!G16-(-PMT(Assumptions!$B$8/12,Assumptions!$B$9*12,((Assumptions!$B$5*(1+$B19))*Assumptions!$B$7))*12)</f>
        <v>523832.674939519</v>
      </c>
      <c r="H19" s="36" t="n">
        <f aca="false">Returns!H15+Returns!H16-(-PMT(Assumptions!$B$8/12,Assumptions!$B$9*12,((Assumptions!$B$5*(1+$B19))*Assumptions!$B$7))*12)</f>
        <v>200039.49125242</v>
      </c>
      <c r="I19" s="36" t="n">
        <f aca="false">Returns!I15+Returns!I16-(-PMT(Assumptions!$B$8/12,Assumptions!$B$9*12,((Assumptions!$B$5*(1+$B19))*Assumptions!$B$7))*12)</f>
        <v>638878.505660717</v>
      </c>
      <c r="J19" s="36" t="n">
        <f aca="false">Returns!J15+Returns!J16-(-PMT(Assumptions!$B$8/12,Assumptions!$B$9*12,((Assumptions!$B$5*(1+$B19))*Assumptions!$B$7))*12)+'Property CF'!$J$19/$A19*(1-Assumptions!$B$12)-(-FV(Assumptions!$B$8/12,7*12,(-PMT(Assumptions!$B$8/12,Assumptions!$B$9*12,((Assumptions!$B$5*(1+$B19))*Assumptions!$B$7))*12)/12*-1,((Assumptions!$B$5*(1+$B19))*Assumptions!$B$7)))</f>
        <v>16544357.9519142</v>
      </c>
      <c r="K19" s="57" t="n">
        <f aca="false">IRR(C19:J19)</f>
        <v>0.127258539341847</v>
      </c>
    </row>
    <row r="20" customFormat="false" ht="15" hidden="false" customHeight="false" outlineLevel="0" collapsed="false">
      <c r="A20" s="56" t="n">
        <f aca="false">$A$6</f>
        <v>0.0675</v>
      </c>
      <c r="B20" s="57" t="n">
        <f aca="false">F$5</f>
        <v>0.1</v>
      </c>
      <c r="C20" s="36" t="n">
        <f aca="false">-((Assumptions!$B$5*(1+$B20))*(1+Assumptions!$B$6)-((Assumptions!$B$5*(1+$B20))*Assumptions!$B$7))</f>
        <v>-8764800</v>
      </c>
      <c r="D20" s="36" t="n">
        <f aca="false">Returns!D15+Returns!D16-(-PMT(Assumptions!$B$8/12,Assumptions!$B$9*12,((Assumptions!$B$5*(1+$B20))*Assumptions!$B$7))*12)</f>
        <v>186863.803300641</v>
      </c>
      <c r="E20" s="36" t="n">
        <f aca="false">Returns!E15+Returns!E16-(-PMT(Assumptions!$B$8/12,Assumptions!$B$9*12,((Assumptions!$B$5*(1+$B20))*Assumptions!$B$7))*12)</f>
        <v>117953.68112564</v>
      </c>
      <c r="F20" s="36" t="n">
        <f aca="false">Returns!F15+Returns!F16-(-PMT(Assumptions!$B$8/12,Assumptions!$B$9*12,((Assumptions!$B$5*(1+$B20))*Assumptions!$B$7))*12)</f>
        <v>137351.549551703</v>
      </c>
      <c r="G20" s="36" t="n">
        <f aca="false">Returns!G15+Returns!G16-(-PMT(Assumptions!$B$8/12,Assumptions!$B$9*12,((Assumptions!$B$5*(1+$B20))*Assumptions!$B$7))*12)</f>
        <v>476076.870316821</v>
      </c>
      <c r="H20" s="36" t="n">
        <f aca="false">Returns!H15+Returns!H16-(-PMT(Assumptions!$B$8/12,Assumptions!$B$9*12,((Assumptions!$B$5*(1+$B20))*Assumptions!$B$7))*12)</f>
        <v>152283.686629722</v>
      </c>
      <c r="I20" s="36" t="n">
        <f aca="false">Returns!I15+Returns!I16-(-PMT(Assumptions!$B$8/12,Assumptions!$B$9*12,((Assumptions!$B$5*(1+$B20))*Assumptions!$B$7))*12)</f>
        <v>591122.701038019</v>
      </c>
      <c r="J20" s="36" t="n">
        <f aca="false">Returns!J15+Returns!J16-(-PMT(Assumptions!$B$8/12,Assumptions!$B$9*12,((Assumptions!$B$5*(1+$B20))*Assumptions!$B$7))*12)+'Property CF'!$J$19/$A20*(1-Assumptions!$B$12)-(-FV(Assumptions!$B$8/12,7*12,(-PMT(Assumptions!$B$8/12,Assumptions!$B$9*12,((Assumptions!$B$5*(1+$B20))*Assumptions!$B$7))*12)/12*-1,((Assumptions!$B$5*(1+$B20))*Assumptions!$B$7)))</f>
        <v>15999744.9992955</v>
      </c>
      <c r="K20" s="57" t="n">
        <f aca="false">IRR(C20:J20)</f>
        <v>0.110499342841572</v>
      </c>
    </row>
    <row r="21" customFormat="false" ht="15" hidden="false" customHeight="false" outlineLevel="0" collapsed="false">
      <c r="A21" s="56" t="n">
        <f aca="false">$A$7</f>
        <v>0.07</v>
      </c>
      <c r="B21" s="57" t="n">
        <f aca="false">B$5</f>
        <v>-0.1</v>
      </c>
      <c r="C21" s="36" t="n">
        <f aca="false">-((Assumptions!$B$5*(1+$B21))*(1+Assumptions!$B$6)-((Assumptions!$B$5*(1+$B21))*Assumptions!$B$7))</f>
        <v>-7171200</v>
      </c>
      <c r="D21" s="36" t="n">
        <f aca="false">Returns!D15+Returns!D16-(-PMT(Assumptions!$B$8/12,Assumptions!$B$9*12,((Assumptions!$B$5*(1+$B21))*Assumptions!$B$7))*12)</f>
        <v>377887.021791433</v>
      </c>
      <c r="E21" s="36" t="n">
        <f aca="false">Returns!E15+Returns!E16-(-PMT(Assumptions!$B$8/12,Assumptions!$B$9*12,((Assumptions!$B$5*(1+$B21))*Assumptions!$B$7))*12)</f>
        <v>308976.899616433</v>
      </c>
      <c r="F21" s="36" t="n">
        <f aca="false">Returns!F15+Returns!F16-(-PMT(Assumptions!$B$8/12,Assumptions!$B$9*12,((Assumptions!$B$5*(1+$B21))*Assumptions!$B$7))*12)</f>
        <v>328374.768042496</v>
      </c>
      <c r="G21" s="36" t="n">
        <f aca="false">Returns!G15+Returns!G16-(-PMT(Assumptions!$B$8/12,Assumptions!$B$9*12,((Assumptions!$B$5*(1+$B21))*Assumptions!$B$7))*12)</f>
        <v>667100.088807614</v>
      </c>
      <c r="H21" s="36" t="n">
        <f aca="false">Returns!H15+Returns!H16-(-PMT(Assumptions!$B$8/12,Assumptions!$B$9*12,((Assumptions!$B$5*(1+$B21))*Assumptions!$B$7))*12)</f>
        <v>343306.905120515</v>
      </c>
      <c r="I21" s="36" t="n">
        <f aca="false">Returns!I15+Returns!I16-(-PMT(Assumptions!$B$8/12,Assumptions!$B$9*12,((Assumptions!$B$5*(1+$B21))*Assumptions!$B$7))*12)</f>
        <v>782145.919528812</v>
      </c>
      <c r="J21" s="36" t="n">
        <f aca="false">Returns!J15+Returns!J16-(-PMT(Assumptions!$B$8/12,Assumptions!$B$9*12,((Assumptions!$B$5*(1+$B21))*Assumptions!$B$7))*12)+'Property CF'!$J$19/$A21*(1-Assumptions!$B$12)-(-FV(Assumptions!$B$8/12,7*12,(-PMT(Assumptions!$B$8/12,Assumptions!$B$9*12,((Assumptions!$B$5*(1+$B21))*Assumptions!$B$7))*12)/12*-1,((Assumptions!$B$5*(1+$B21))*Assumptions!$B$7)))</f>
        <v>17228576.4816298</v>
      </c>
      <c r="K21" s="57" t="n">
        <f aca="false">IRR(C21:J21)</f>
        <v>0.173647413883119</v>
      </c>
    </row>
    <row r="22" customFormat="false" ht="15" hidden="false" customHeight="false" outlineLevel="0" collapsed="false">
      <c r="A22" s="56" t="n">
        <f aca="false">$A$7</f>
        <v>0.07</v>
      </c>
      <c r="B22" s="57" t="n">
        <f aca="false">C$5</f>
        <v>-0.05</v>
      </c>
      <c r="C22" s="36" t="n">
        <f aca="false">-((Assumptions!$B$5*(1+$B22))*(1+Assumptions!$B$6)-((Assumptions!$B$5*(1+$B22))*Assumptions!$B$7))</f>
        <v>-7569600</v>
      </c>
      <c r="D22" s="36" t="n">
        <f aca="false">Returns!D15+Returns!D16-(-PMT(Assumptions!$B$8/12,Assumptions!$B$9*12,((Assumptions!$B$5*(1+$B22))*Assumptions!$B$7))*12)</f>
        <v>330131.217168735</v>
      </c>
      <c r="E22" s="36" t="n">
        <f aca="false">Returns!E15+Returns!E16-(-PMT(Assumptions!$B$8/12,Assumptions!$B$9*12,((Assumptions!$B$5*(1+$B22))*Assumptions!$B$7))*12)</f>
        <v>261221.094993735</v>
      </c>
      <c r="F22" s="36" t="n">
        <f aca="false">Returns!F15+Returns!F16-(-PMT(Assumptions!$B$8/12,Assumptions!$B$9*12,((Assumptions!$B$5*(1+$B22))*Assumptions!$B$7))*12)</f>
        <v>280618.963419798</v>
      </c>
      <c r="G22" s="36" t="n">
        <f aca="false">Returns!G15+Returns!G16-(-PMT(Assumptions!$B$8/12,Assumptions!$B$9*12,((Assumptions!$B$5*(1+$B22))*Assumptions!$B$7))*12)</f>
        <v>619344.284184916</v>
      </c>
      <c r="H22" s="36" t="n">
        <f aca="false">Returns!H15+Returns!H16-(-PMT(Assumptions!$B$8/12,Assumptions!$B$9*12,((Assumptions!$B$5*(1+$B22))*Assumptions!$B$7))*12)</f>
        <v>295551.100497817</v>
      </c>
      <c r="I22" s="36" t="n">
        <f aca="false">Returns!I15+Returns!I16-(-PMT(Assumptions!$B$8/12,Assumptions!$B$9*12,((Assumptions!$B$5*(1+$B22))*Assumptions!$B$7))*12)</f>
        <v>734390.114906113</v>
      </c>
      <c r="J22" s="36" t="n">
        <f aca="false">Returns!J15+Returns!J16-(-PMT(Assumptions!$B$8/12,Assumptions!$B$9*12,((Assumptions!$B$5*(1+$B22))*Assumptions!$B$7))*12)+'Property CF'!$J$19/$A22*(1-Assumptions!$B$12)-(-FV(Assumptions!$B$8/12,7*12,(-PMT(Assumptions!$B$8/12,Assumptions!$B$9*12,((Assumptions!$B$5*(1+$B22))*Assumptions!$B$7))*12)/12*-1,((Assumptions!$B$5*(1+$B22))*Assumptions!$B$7)))</f>
        <v>16683963.5290111</v>
      </c>
      <c r="K22" s="57" t="n">
        <f aca="false">IRR(C22:J22)</f>
        <v>0.15451303027029</v>
      </c>
    </row>
    <row r="23" customFormat="false" ht="15" hidden="false" customHeight="false" outlineLevel="0" collapsed="false">
      <c r="A23" s="56" t="n">
        <f aca="false">$A$7</f>
        <v>0.07</v>
      </c>
      <c r="B23" s="57" t="n">
        <f aca="false">D$5</f>
        <v>0</v>
      </c>
      <c r="C23" s="36" t="n">
        <f aca="false">-((Assumptions!$B$5*(1+$B23))*(1+Assumptions!$B$6)-((Assumptions!$B$5*(1+$B23))*Assumptions!$B$7))</f>
        <v>-7968000</v>
      </c>
      <c r="D23" s="36" t="n">
        <f aca="false">Returns!D15+Returns!D16-(-PMT(Assumptions!$B$8/12,Assumptions!$B$9*12,((Assumptions!$B$5*(1+$B23))*Assumptions!$B$7))*12)</f>
        <v>282375.412546037</v>
      </c>
      <c r="E23" s="36" t="n">
        <f aca="false">Returns!E15+Returns!E16-(-PMT(Assumptions!$B$8/12,Assumptions!$B$9*12,((Assumptions!$B$5*(1+$B23))*Assumptions!$B$7))*12)</f>
        <v>213465.290371037</v>
      </c>
      <c r="F23" s="36" t="n">
        <f aca="false">Returns!F15+Returns!F16-(-PMT(Assumptions!$B$8/12,Assumptions!$B$9*12,((Assumptions!$B$5*(1+$B23))*Assumptions!$B$7))*12)</f>
        <v>232863.1587971</v>
      </c>
      <c r="G23" s="36" t="n">
        <f aca="false">Returns!G15+Returns!G16-(-PMT(Assumptions!$B$8/12,Assumptions!$B$9*12,((Assumptions!$B$5*(1+$B23))*Assumptions!$B$7))*12)</f>
        <v>571588.479562217</v>
      </c>
      <c r="H23" s="36" t="n">
        <f aca="false">Returns!H15+Returns!H16-(-PMT(Assumptions!$B$8/12,Assumptions!$B$9*12,((Assumptions!$B$5*(1+$B23))*Assumptions!$B$7))*12)</f>
        <v>247795.295875118</v>
      </c>
      <c r="I23" s="36" t="n">
        <f aca="false">Returns!I15+Returns!I16-(-PMT(Assumptions!$B$8/12,Assumptions!$B$9*12,((Assumptions!$B$5*(1+$B23))*Assumptions!$B$7))*12)</f>
        <v>686634.310283415</v>
      </c>
      <c r="J23" s="36" t="n">
        <f aca="false">Returns!J15+Returns!J16-(-PMT(Assumptions!$B$8/12,Assumptions!$B$9*12,((Assumptions!$B$5*(1+$B23))*Assumptions!$B$7))*12)+'Property CF'!$J$19/$A23*(1-Assumptions!$B$12)-(-FV(Assumptions!$B$8/12,7*12,(-PMT(Assumptions!$B$8/12,Assumptions!$B$9*12,((Assumptions!$B$5*(1+$B23))*Assumptions!$B$7))*12)/12*-1,((Assumptions!$B$5*(1+$B23))*Assumptions!$B$7)))</f>
        <v>16139350.5763924</v>
      </c>
      <c r="K23" s="57" t="n">
        <f aca="false">IRR(C23:J23)</f>
        <v>0.136200937209267</v>
      </c>
    </row>
    <row r="24" customFormat="false" ht="15" hidden="false" customHeight="false" outlineLevel="0" collapsed="false">
      <c r="A24" s="56" t="n">
        <f aca="false">$A$7</f>
        <v>0.07</v>
      </c>
      <c r="B24" s="57" t="n">
        <f aca="false">E$5</f>
        <v>0.05</v>
      </c>
      <c r="C24" s="36" t="n">
        <f aca="false">-((Assumptions!$B$5*(1+$B24))*(1+Assumptions!$B$6)-((Assumptions!$B$5*(1+$B24))*Assumptions!$B$7))</f>
        <v>-8366400</v>
      </c>
      <c r="D24" s="36" t="n">
        <f aca="false">Returns!D15+Returns!D16-(-PMT(Assumptions!$B$8/12,Assumptions!$B$9*12,((Assumptions!$B$5*(1+$B24))*Assumptions!$B$7))*12)</f>
        <v>234619.607923339</v>
      </c>
      <c r="E24" s="36" t="n">
        <f aca="false">Returns!E15+Returns!E16-(-PMT(Assumptions!$B$8/12,Assumptions!$B$9*12,((Assumptions!$B$5*(1+$B24))*Assumptions!$B$7))*12)</f>
        <v>165709.485748339</v>
      </c>
      <c r="F24" s="36" t="n">
        <f aca="false">Returns!F15+Returns!F16-(-PMT(Assumptions!$B$8/12,Assumptions!$B$9*12,((Assumptions!$B$5*(1+$B24))*Assumptions!$B$7))*12)</f>
        <v>185107.354174401</v>
      </c>
      <c r="G24" s="36" t="n">
        <f aca="false">Returns!G15+Returns!G16-(-PMT(Assumptions!$B$8/12,Assumptions!$B$9*12,((Assumptions!$B$5*(1+$B24))*Assumptions!$B$7))*12)</f>
        <v>523832.674939519</v>
      </c>
      <c r="H24" s="36" t="n">
        <f aca="false">Returns!H15+Returns!H16-(-PMT(Assumptions!$B$8/12,Assumptions!$B$9*12,((Assumptions!$B$5*(1+$B24))*Assumptions!$B$7))*12)</f>
        <v>200039.49125242</v>
      </c>
      <c r="I24" s="36" t="n">
        <f aca="false">Returns!I15+Returns!I16-(-PMT(Assumptions!$B$8/12,Assumptions!$B$9*12,((Assumptions!$B$5*(1+$B24))*Assumptions!$B$7))*12)</f>
        <v>638878.505660717</v>
      </c>
      <c r="J24" s="36" t="n">
        <f aca="false">Returns!J15+Returns!J16-(-PMT(Assumptions!$B$8/12,Assumptions!$B$9*12,((Assumptions!$B$5*(1+$B24))*Assumptions!$B$7))*12)+'Property CF'!$J$19/$A24*(1-Assumptions!$B$12)-(-FV(Assumptions!$B$8/12,7*12,(-PMT(Assumptions!$B$8/12,Assumptions!$B$9*12,((Assumptions!$B$5*(1+$B24))*Assumptions!$B$7))*12)/12*-1,((Assumptions!$B$5*(1+$B24))*Assumptions!$B$7)))</f>
        <v>15594737.6237737</v>
      </c>
      <c r="K24" s="57" t="n">
        <f aca="false">IRR(C24:J24)</f>
        <v>0.118584399816113</v>
      </c>
    </row>
    <row r="25" customFormat="false" ht="15" hidden="false" customHeight="false" outlineLevel="0" collapsed="false">
      <c r="A25" s="56" t="n">
        <f aca="false">$A$7</f>
        <v>0.07</v>
      </c>
      <c r="B25" s="57" t="n">
        <f aca="false">F$5</f>
        <v>0.1</v>
      </c>
      <c r="C25" s="36" t="n">
        <f aca="false">-((Assumptions!$B$5*(1+$B25))*(1+Assumptions!$B$6)-((Assumptions!$B$5*(1+$B25))*Assumptions!$B$7))</f>
        <v>-8764800</v>
      </c>
      <c r="D25" s="36" t="n">
        <f aca="false">Returns!D15+Returns!D16-(-PMT(Assumptions!$B$8/12,Assumptions!$B$9*12,((Assumptions!$B$5*(1+$B25))*Assumptions!$B$7))*12)</f>
        <v>186863.803300641</v>
      </c>
      <c r="E25" s="36" t="n">
        <f aca="false">Returns!E15+Returns!E16-(-PMT(Assumptions!$B$8/12,Assumptions!$B$9*12,((Assumptions!$B$5*(1+$B25))*Assumptions!$B$7))*12)</f>
        <v>117953.68112564</v>
      </c>
      <c r="F25" s="36" t="n">
        <f aca="false">Returns!F15+Returns!F16-(-PMT(Assumptions!$B$8/12,Assumptions!$B$9*12,((Assumptions!$B$5*(1+$B25))*Assumptions!$B$7))*12)</f>
        <v>137351.549551703</v>
      </c>
      <c r="G25" s="36" t="n">
        <f aca="false">Returns!G15+Returns!G16-(-PMT(Assumptions!$B$8/12,Assumptions!$B$9*12,((Assumptions!$B$5*(1+$B25))*Assumptions!$B$7))*12)</f>
        <v>476076.870316821</v>
      </c>
      <c r="H25" s="36" t="n">
        <f aca="false">Returns!H15+Returns!H16-(-PMT(Assumptions!$B$8/12,Assumptions!$B$9*12,((Assumptions!$B$5*(1+$B25))*Assumptions!$B$7))*12)</f>
        <v>152283.686629722</v>
      </c>
      <c r="I25" s="36" t="n">
        <f aca="false">Returns!I15+Returns!I16-(-PMT(Assumptions!$B$8/12,Assumptions!$B$9*12,((Assumptions!$B$5*(1+$B25))*Assumptions!$B$7))*12)</f>
        <v>591122.701038019</v>
      </c>
      <c r="J25" s="36" t="n">
        <f aca="false">Returns!J15+Returns!J16-(-PMT(Assumptions!$B$8/12,Assumptions!$B$9*12,((Assumptions!$B$5*(1+$B25))*Assumptions!$B$7))*12)+'Property CF'!$J$19/$A25*(1-Assumptions!$B$12)-(-FV(Assumptions!$B$8/12,7*12,(-PMT(Assumptions!$B$8/12,Assumptions!$B$9*12,((Assumptions!$B$5*(1+$B25))*Assumptions!$B$7))*12)/12*-1,((Assumptions!$B$5*(1+$B25))*Assumptions!$B$7)))</f>
        <v>15050124.671155</v>
      </c>
      <c r="K25" s="57" t="n">
        <f aca="false">IRR(C25:J25)</f>
        <v>0.101554706687463</v>
      </c>
    </row>
    <row r="26" customFormat="false" ht="15" hidden="false" customHeight="false" outlineLevel="0" collapsed="false">
      <c r="A26" s="56" t="n">
        <f aca="false">$A$8</f>
        <v>0.0725</v>
      </c>
      <c r="B26" s="57" t="n">
        <f aca="false">B$5</f>
        <v>-0.1</v>
      </c>
      <c r="C26" s="36" t="n">
        <f aca="false">-((Assumptions!$B$5*(1+$B26))*(1+Assumptions!$B$6)-((Assumptions!$B$5*(1+$B26))*Assumptions!$B$7))</f>
        <v>-7171200</v>
      </c>
      <c r="D26" s="36" t="n">
        <f aca="false">Returns!D15+Returns!D16-(-PMT(Assumptions!$B$8/12,Assumptions!$B$9*12,((Assumptions!$B$5*(1+$B26))*Assumptions!$B$7))*12)</f>
        <v>377887.021791433</v>
      </c>
      <c r="E26" s="36" t="n">
        <f aca="false">Returns!E15+Returns!E16-(-PMT(Assumptions!$B$8/12,Assumptions!$B$9*12,((Assumptions!$B$5*(1+$B26))*Assumptions!$B$7))*12)</f>
        <v>308976.899616433</v>
      </c>
      <c r="F26" s="36" t="n">
        <f aca="false">Returns!F15+Returns!F16-(-PMT(Assumptions!$B$8/12,Assumptions!$B$9*12,((Assumptions!$B$5*(1+$B26))*Assumptions!$B$7))*12)</f>
        <v>328374.768042496</v>
      </c>
      <c r="G26" s="36" t="n">
        <f aca="false">Returns!G15+Returns!G16-(-PMT(Assumptions!$B$8/12,Assumptions!$B$9*12,((Assumptions!$B$5*(1+$B26))*Assumptions!$B$7))*12)</f>
        <v>667100.088807614</v>
      </c>
      <c r="H26" s="36" t="n">
        <f aca="false">Returns!H15+Returns!H16-(-PMT(Assumptions!$B$8/12,Assumptions!$B$9*12,((Assumptions!$B$5*(1+$B26))*Assumptions!$B$7))*12)</f>
        <v>343306.905120515</v>
      </c>
      <c r="I26" s="36" t="n">
        <f aca="false">Returns!I15+Returns!I16-(-PMT(Assumptions!$B$8/12,Assumptions!$B$9*12,((Assumptions!$B$5*(1+$B26))*Assumptions!$B$7))*12)</f>
        <v>782145.919528812</v>
      </c>
      <c r="J26" s="36" t="n">
        <f aca="false">Returns!J15+Returns!J16-(-PMT(Assumptions!$B$8/12,Assumptions!$B$9*12,((Assumptions!$B$5*(1+$B26))*Assumptions!$B$7))*12)+'Property CF'!$J$19/$A26*(1-Assumptions!$B$12)-(-FV(Assumptions!$B$8/12,7*12,(-PMT(Assumptions!$B$8/12,Assumptions!$B$9*12,((Assumptions!$B$5*(1+$B26))*Assumptions!$B$7))*12)/12*-1,((Assumptions!$B$5*(1+$B26))*Assumptions!$B$7)))</f>
        <v>16344447.2106023</v>
      </c>
      <c r="K26" s="57" t="n">
        <f aca="false">IRR(C26:J26)</f>
        <v>0.165915226477578</v>
      </c>
    </row>
    <row r="27" customFormat="false" ht="15" hidden="false" customHeight="false" outlineLevel="0" collapsed="false">
      <c r="A27" s="56" t="n">
        <f aca="false">$A$8</f>
        <v>0.0725</v>
      </c>
      <c r="B27" s="57" t="n">
        <f aca="false">C$5</f>
        <v>-0.05</v>
      </c>
      <c r="C27" s="36" t="n">
        <f aca="false">-((Assumptions!$B$5*(1+$B27))*(1+Assumptions!$B$6)-((Assumptions!$B$5*(1+$B27))*Assumptions!$B$7))</f>
        <v>-7569600</v>
      </c>
      <c r="D27" s="36" t="n">
        <f aca="false">Returns!D15+Returns!D16-(-PMT(Assumptions!$B$8/12,Assumptions!$B$9*12,((Assumptions!$B$5*(1+$B27))*Assumptions!$B$7))*12)</f>
        <v>330131.217168735</v>
      </c>
      <c r="E27" s="36" t="n">
        <f aca="false">Returns!E15+Returns!E16-(-PMT(Assumptions!$B$8/12,Assumptions!$B$9*12,((Assumptions!$B$5*(1+$B27))*Assumptions!$B$7))*12)</f>
        <v>261221.094993735</v>
      </c>
      <c r="F27" s="36" t="n">
        <f aca="false">Returns!F15+Returns!F16-(-PMT(Assumptions!$B$8/12,Assumptions!$B$9*12,((Assumptions!$B$5*(1+$B27))*Assumptions!$B$7))*12)</f>
        <v>280618.963419798</v>
      </c>
      <c r="G27" s="36" t="n">
        <f aca="false">Returns!G15+Returns!G16-(-PMT(Assumptions!$B$8/12,Assumptions!$B$9*12,((Assumptions!$B$5*(1+$B27))*Assumptions!$B$7))*12)</f>
        <v>619344.284184916</v>
      </c>
      <c r="H27" s="36" t="n">
        <f aca="false">Returns!H15+Returns!H16-(-PMT(Assumptions!$B$8/12,Assumptions!$B$9*12,((Assumptions!$B$5*(1+$B27))*Assumptions!$B$7))*12)</f>
        <v>295551.100497817</v>
      </c>
      <c r="I27" s="36" t="n">
        <f aca="false">Returns!I15+Returns!I16-(-PMT(Assumptions!$B$8/12,Assumptions!$B$9*12,((Assumptions!$B$5*(1+$B27))*Assumptions!$B$7))*12)</f>
        <v>734390.114906113</v>
      </c>
      <c r="J27" s="36" t="n">
        <f aca="false">Returns!J15+Returns!J16-(-PMT(Assumptions!$B$8/12,Assumptions!$B$9*12,((Assumptions!$B$5*(1+$B27))*Assumptions!$B$7))*12)+'Property CF'!$J$19/$A27*(1-Assumptions!$B$12)-(-FV(Assumptions!$B$8/12,7*12,(-PMT(Assumptions!$B$8/12,Assumptions!$B$9*12,((Assumptions!$B$5*(1+$B27))*Assumptions!$B$7))*12)/12*-1,((Assumptions!$B$5*(1+$B27))*Assumptions!$B$7)))</f>
        <v>15799834.2579836</v>
      </c>
      <c r="K27" s="57" t="n">
        <f aca="false">IRR(C27:J27)</f>
        <v>0.146551124940364</v>
      </c>
    </row>
    <row r="28" customFormat="false" ht="15" hidden="false" customHeight="false" outlineLevel="0" collapsed="false">
      <c r="A28" s="56" t="n">
        <f aca="false">$A$8</f>
        <v>0.0725</v>
      </c>
      <c r="B28" s="57" t="n">
        <f aca="false">D$5</f>
        <v>0</v>
      </c>
      <c r="C28" s="36" t="n">
        <f aca="false">-((Assumptions!$B$5*(1+$B28))*(1+Assumptions!$B$6)-((Assumptions!$B$5*(1+$B28))*Assumptions!$B$7))</f>
        <v>-7968000</v>
      </c>
      <c r="D28" s="36" t="n">
        <f aca="false">Returns!D15+Returns!D16-(-PMT(Assumptions!$B$8/12,Assumptions!$B$9*12,((Assumptions!$B$5*(1+$B28))*Assumptions!$B$7))*12)</f>
        <v>282375.412546037</v>
      </c>
      <c r="E28" s="36" t="n">
        <f aca="false">Returns!E15+Returns!E16-(-PMT(Assumptions!$B$8/12,Assumptions!$B$9*12,((Assumptions!$B$5*(1+$B28))*Assumptions!$B$7))*12)</f>
        <v>213465.290371037</v>
      </c>
      <c r="F28" s="36" t="n">
        <f aca="false">Returns!F15+Returns!F16-(-PMT(Assumptions!$B$8/12,Assumptions!$B$9*12,((Assumptions!$B$5*(1+$B28))*Assumptions!$B$7))*12)</f>
        <v>232863.1587971</v>
      </c>
      <c r="G28" s="36" t="n">
        <f aca="false">Returns!G15+Returns!G16-(-PMT(Assumptions!$B$8/12,Assumptions!$B$9*12,((Assumptions!$B$5*(1+$B28))*Assumptions!$B$7))*12)</f>
        <v>571588.479562217</v>
      </c>
      <c r="H28" s="36" t="n">
        <f aca="false">Returns!H15+Returns!H16-(-PMT(Assumptions!$B$8/12,Assumptions!$B$9*12,((Assumptions!$B$5*(1+$B28))*Assumptions!$B$7))*12)</f>
        <v>247795.295875118</v>
      </c>
      <c r="I28" s="36" t="n">
        <f aca="false">Returns!I15+Returns!I16-(-PMT(Assumptions!$B$8/12,Assumptions!$B$9*12,((Assumptions!$B$5*(1+$B28))*Assumptions!$B$7))*12)</f>
        <v>686634.310283415</v>
      </c>
      <c r="J28" s="36" t="n">
        <f aca="false">Returns!J15+Returns!J16-(-PMT(Assumptions!$B$8/12,Assumptions!$B$9*12,((Assumptions!$B$5*(1+$B28))*Assumptions!$B$7))*12)+'Property CF'!$J$19/$A28*(1-Assumptions!$B$12)-(-FV(Assumptions!$B$8/12,7*12,(-PMT(Assumptions!$B$8/12,Assumptions!$B$9*12,((Assumptions!$B$5*(1+$B28))*Assumptions!$B$7))*12)/12*-1,((Assumptions!$B$5*(1+$B28))*Assumptions!$B$7)))</f>
        <v>15255221.3053649</v>
      </c>
      <c r="K28" s="57" t="n">
        <f aca="false">IRR(C28:J28)</f>
        <v>0.127993959843653</v>
      </c>
    </row>
    <row r="29" customFormat="false" ht="15" hidden="false" customHeight="false" outlineLevel="0" collapsed="false">
      <c r="A29" s="56" t="n">
        <f aca="false">$A$8</f>
        <v>0.0725</v>
      </c>
      <c r="B29" s="57" t="n">
        <f aca="false">E$5</f>
        <v>0.05</v>
      </c>
      <c r="C29" s="36" t="n">
        <f aca="false">-((Assumptions!$B$5*(1+$B29))*(1+Assumptions!$B$6)-((Assumptions!$B$5*(1+$B29))*Assumptions!$B$7))</f>
        <v>-8366400</v>
      </c>
      <c r="D29" s="36" t="n">
        <f aca="false">Returns!D15+Returns!D16-(-PMT(Assumptions!$B$8/12,Assumptions!$B$9*12,((Assumptions!$B$5*(1+$B29))*Assumptions!$B$7))*12)</f>
        <v>234619.607923339</v>
      </c>
      <c r="E29" s="36" t="n">
        <f aca="false">Returns!E15+Returns!E16-(-PMT(Assumptions!$B$8/12,Assumptions!$B$9*12,((Assumptions!$B$5*(1+$B29))*Assumptions!$B$7))*12)</f>
        <v>165709.485748339</v>
      </c>
      <c r="F29" s="36" t="n">
        <f aca="false">Returns!F15+Returns!F16-(-PMT(Assumptions!$B$8/12,Assumptions!$B$9*12,((Assumptions!$B$5*(1+$B29))*Assumptions!$B$7))*12)</f>
        <v>185107.354174401</v>
      </c>
      <c r="G29" s="36" t="n">
        <f aca="false">Returns!G15+Returns!G16-(-PMT(Assumptions!$B$8/12,Assumptions!$B$9*12,((Assumptions!$B$5*(1+$B29))*Assumptions!$B$7))*12)</f>
        <v>523832.674939519</v>
      </c>
      <c r="H29" s="36" t="n">
        <f aca="false">Returns!H15+Returns!H16-(-PMT(Assumptions!$B$8/12,Assumptions!$B$9*12,((Assumptions!$B$5*(1+$B29))*Assumptions!$B$7))*12)</f>
        <v>200039.49125242</v>
      </c>
      <c r="I29" s="36" t="n">
        <f aca="false">Returns!I15+Returns!I16-(-PMT(Assumptions!$B$8/12,Assumptions!$B$9*12,((Assumptions!$B$5*(1+$B29))*Assumptions!$B$7))*12)</f>
        <v>638878.505660717</v>
      </c>
      <c r="J29" s="36" t="n">
        <f aca="false">Returns!J15+Returns!J16-(-PMT(Assumptions!$B$8/12,Assumptions!$B$9*12,((Assumptions!$B$5*(1+$B29))*Assumptions!$B$7))*12)+'Property CF'!$J$19/$A29*(1-Assumptions!$B$12)-(-FV(Assumptions!$B$8/12,7*12,(-PMT(Assumptions!$B$8/12,Assumptions!$B$9*12,((Assumptions!$B$5*(1+$B29))*Assumptions!$B$7))*12)/12*-1,((Assumptions!$B$5*(1+$B29))*Assumptions!$B$7)))</f>
        <v>14710608.3527462</v>
      </c>
      <c r="K29" s="57" t="n">
        <f aca="false">IRR(C29:J29)</f>
        <v>0.110115077234557</v>
      </c>
    </row>
    <row r="30" customFormat="false" ht="15" hidden="false" customHeight="false" outlineLevel="0" collapsed="false">
      <c r="A30" s="56" t="n">
        <f aca="false">$A$8</f>
        <v>0.0725</v>
      </c>
      <c r="B30" s="57" t="n">
        <f aca="false">F$5</f>
        <v>0.1</v>
      </c>
      <c r="C30" s="36" t="n">
        <f aca="false">-((Assumptions!$B$5*(1+$B30))*(1+Assumptions!$B$6)-((Assumptions!$B$5*(1+$B30))*Assumptions!$B$7))</f>
        <v>-8764800</v>
      </c>
      <c r="D30" s="36" t="n">
        <f aca="false">Returns!D15+Returns!D16-(-PMT(Assumptions!$B$8/12,Assumptions!$B$9*12,((Assumptions!$B$5*(1+$B30))*Assumptions!$B$7))*12)</f>
        <v>186863.803300641</v>
      </c>
      <c r="E30" s="36" t="n">
        <f aca="false">Returns!E15+Returns!E16-(-PMT(Assumptions!$B$8/12,Assumptions!$B$9*12,((Assumptions!$B$5*(1+$B30))*Assumptions!$B$7))*12)</f>
        <v>117953.68112564</v>
      </c>
      <c r="F30" s="36" t="n">
        <f aca="false">Returns!F15+Returns!F16-(-PMT(Assumptions!$B$8/12,Assumptions!$B$9*12,((Assumptions!$B$5*(1+$B30))*Assumptions!$B$7))*12)</f>
        <v>137351.549551703</v>
      </c>
      <c r="G30" s="36" t="n">
        <f aca="false">Returns!G15+Returns!G16-(-PMT(Assumptions!$B$8/12,Assumptions!$B$9*12,((Assumptions!$B$5*(1+$B30))*Assumptions!$B$7))*12)</f>
        <v>476076.870316821</v>
      </c>
      <c r="H30" s="36" t="n">
        <f aca="false">Returns!H15+Returns!H16-(-PMT(Assumptions!$B$8/12,Assumptions!$B$9*12,((Assumptions!$B$5*(1+$B30))*Assumptions!$B$7))*12)</f>
        <v>152283.686629722</v>
      </c>
      <c r="I30" s="36" t="n">
        <f aca="false">Returns!I15+Returns!I16-(-PMT(Assumptions!$B$8/12,Assumptions!$B$9*12,((Assumptions!$B$5*(1+$B30))*Assumptions!$B$7))*12)</f>
        <v>591122.701038019</v>
      </c>
      <c r="J30" s="36" t="n">
        <f aca="false">Returns!J15+Returns!J16-(-PMT(Assumptions!$B$8/12,Assumptions!$B$9*12,((Assumptions!$B$5*(1+$B30))*Assumptions!$B$7))*12)+'Property CF'!$J$19/$A30*(1-Assumptions!$B$12)-(-FV(Assumptions!$B$8/12,7*12,(-PMT(Assumptions!$B$8/12,Assumptions!$B$9*12,((Assumptions!$B$5*(1+$B30))*Assumptions!$B$7))*12)/12*-1,((Assumptions!$B$5*(1+$B30))*Assumptions!$B$7)))</f>
        <v>14165995.4001275</v>
      </c>
      <c r="K30" s="57" t="n">
        <f aca="false">IRR(C30:J30)</f>
        <v>0.092803618903339</v>
      </c>
    </row>
    <row r="31" customFormat="false" ht="15" hidden="false" customHeight="false" outlineLevel="0" collapsed="false">
      <c r="A31" s="56" t="n">
        <f aca="false">$A$9</f>
        <v>0.075</v>
      </c>
      <c r="B31" s="57" t="n">
        <f aca="false">B$5</f>
        <v>-0.1</v>
      </c>
      <c r="C31" s="36" t="n">
        <f aca="false">-((Assumptions!$B$5*(1+$B31))*(1+Assumptions!$B$6)-((Assumptions!$B$5*(1+$B31))*Assumptions!$B$7))</f>
        <v>-7171200</v>
      </c>
      <c r="D31" s="36" t="n">
        <f aca="false">Returns!D15+Returns!D16-(-PMT(Assumptions!$B$8/12,Assumptions!$B$9*12,((Assumptions!$B$5*(1+$B31))*Assumptions!$B$7))*12)</f>
        <v>377887.021791433</v>
      </c>
      <c r="E31" s="36" t="n">
        <f aca="false">Returns!E15+Returns!E16-(-PMT(Assumptions!$B$8/12,Assumptions!$B$9*12,((Assumptions!$B$5*(1+$B31))*Assumptions!$B$7))*12)</f>
        <v>308976.899616433</v>
      </c>
      <c r="F31" s="36" t="n">
        <f aca="false">Returns!F15+Returns!F16-(-PMT(Assumptions!$B$8/12,Assumptions!$B$9*12,((Assumptions!$B$5*(1+$B31))*Assumptions!$B$7))*12)</f>
        <v>328374.768042496</v>
      </c>
      <c r="G31" s="36" t="n">
        <f aca="false">Returns!G15+Returns!G16-(-PMT(Assumptions!$B$8/12,Assumptions!$B$9*12,((Assumptions!$B$5*(1+$B31))*Assumptions!$B$7))*12)</f>
        <v>667100.088807614</v>
      </c>
      <c r="H31" s="36" t="n">
        <f aca="false">Returns!H15+Returns!H16-(-PMT(Assumptions!$B$8/12,Assumptions!$B$9*12,((Assumptions!$B$5*(1+$B31))*Assumptions!$B$7))*12)</f>
        <v>343306.905120515</v>
      </c>
      <c r="I31" s="36" t="n">
        <f aca="false">Returns!I15+Returns!I16-(-PMT(Assumptions!$B$8/12,Assumptions!$B$9*12,((Assumptions!$B$5*(1+$B31))*Assumptions!$B$7))*12)</f>
        <v>782145.919528812</v>
      </c>
      <c r="J31" s="36" t="n">
        <f aca="false">Returns!J15+Returns!J16-(-PMT(Assumptions!$B$8/12,Assumptions!$B$9*12,((Assumptions!$B$5*(1+$B31))*Assumptions!$B$7))*12)+'Property CF'!$J$19/$A31*(1-Assumptions!$B$12)-(-FV(Assumptions!$B$8/12,7*12,(-PMT(Assumptions!$B$8/12,Assumptions!$B$9*12,((Assumptions!$B$5*(1+$B31))*Assumptions!$B$7))*12)/12*-1,((Assumptions!$B$5*(1+$B31))*Assumptions!$B$7)))</f>
        <v>15519259.8909767</v>
      </c>
      <c r="K31" s="57" t="n">
        <f aca="false">IRR(C31:J31)</f>
        <v>0.158393647162757</v>
      </c>
    </row>
    <row r="32" customFormat="false" ht="15" hidden="false" customHeight="false" outlineLevel="0" collapsed="false">
      <c r="A32" s="56" t="n">
        <f aca="false">$A$9</f>
        <v>0.075</v>
      </c>
      <c r="B32" s="57" t="n">
        <f aca="false">C$5</f>
        <v>-0.05</v>
      </c>
      <c r="C32" s="36" t="n">
        <f aca="false">-((Assumptions!$B$5*(1+$B32))*(1+Assumptions!$B$6)-((Assumptions!$B$5*(1+$B32))*Assumptions!$B$7))</f>
        <v>-7569600</v>
      </c>
      <c r="D32" s="36" t="n">
        <f aca="false">Returns!D15+Returns!D16-(-PMT(Assumptions!$B$8/12,Assumptions!$B$9*12,((Assumptions!$B$5*(1+$B32))*Assumptions!$B$7))*12)</f>
        <v>330131.217168735</v>
      </c>
      <c r="E32" s="36" t="n">
        <f aca="false">Returns!E15+Returns!E16-(-PMT(Assumptions!$B$8/12,Assumptions!$B$9*12,((Assumptions!$B$5*(1+$B32))*Assumptions!$B$7))*12)</f>
        <v>261221.094993735</v>
      </c>
      <c r="F32" s="36" t="n">
        <f aca="false">Returns!F15+Returns!F16-(-PMT(Assumptions!$B$8/12,Assumptions!$B$9*12,((Assumptions!$B$5*(1+$B32))*Assumptions!$B$7))*12)</f>
        <v>280618.963419798</v>
      </c>
      <c r="G32" s="36" t="n">
        <f aca="false">Returns!G15+Returns!G16-(-PMT(Assumptions!$B$8/12,Assumptions!$B$9*12,((Assumptions!$B$5*(1+$B32))*Assumptions!$B$7))*12)</f>
        <v>619344.284184916</v>
      </c>
      <c r="H32" s="36" t="n">
        <f aca="false">Returns!H15+Returns!H16-(-PMT(Assumptions!$B$8/12,Assumptions!$B$9*12,((Assumptions!$B$5*(1+$B32))*Assumptions!$B$7))*12)</f>
        <v>295551.100497817</v>
      </c>
      <c r="I32" s="36" t="n">
        <f aca="false">Returns!I15+Returns!I16-(-PMT(Assumptions!$B$8/12,Assumptions!$B$9*12,((Assumptions!$B$5*(1+$B32))*Assumptions!$B$7))*12)</f>
        <v>734390.114906113</v>
      </c>
      <c r="J32" s="36" t="n">
        <f aca="false">Returns!J15+Returns!J16-(-PMT(Assumptions!$B$8/12,Assumptions!$B$9*12,((Assumptions!$B$5*(1+$B32))*Assumptions!$B$7))*12)+'Property CF'!$J$19/$A32*(1-Assumptions!$B$12)-(-FV(Assumptions!$B$8/12,7*12,(-PMT(Assumptions!$B$8/12,Assumptions!$B$9*12,((Assumptions!$B$5*(1+$B32))*Assumptions!$B$7))*12)/12*-1,((Assumptions!$B$5*(1+$B32))*Assumptions!$B$7)))</f>
        <v>14974646.938358</v>
      </c>
      <c r="K32" s="57" t="n">
        <f aca="false">IRR(C32:J32)</f>
        <v>0.138792775519875</v>
      </c>
    </row>
    <row r="33" customFormat="false" ht="15" hidden="false" customHeight="false" outlineLevel="0" collapsed="false">
      <c r="A33" s="56" t="n">
        <f aca="false">$A$9</f>
        <v>0.075</v>
      </c>
      <c r="B33" s="57" t="n">
        <f aca="false">D$5</f>
        <v>0</v>
      </c>
      <c r="C33" s="36" t="n">
        <f aca="false">-((Assumptions!$B$5*(1+$B33))*(1+Assumptions!$B$6)-((Assumptions!$B$5*(1+$B33))*Assumptions!$B$7))</f>
        <v>-7968000</v>
      </c>
      <c r="D33" s="36" t="n">
        <f aca="false">Returns!D15+Returns!D16-(-PMT(Assumptions!$B$8/12,Assumptions!$B$9*12,((Assumptions!$B$5*(1+$B33))*Assumptions!$B$7))*12)</f>
        <v>282375.412546037</v>
      </c>
      <c r="E33" s="36" t="n">
        <f aca="false">Returns!E15+Returns!E16-(-PMT(Assumptions!$B$8/12,Assumptions!$B$9*12,((Assumptions!$B$5*(1+$B33))*Assumptions!$B$7))*12)</f>
        <v>213465.290371037</v>
      </c>
      <c r="F33" s="36" t="n">
        <f aca="false">Returns!F15+Returns!F16-(-PMT(Assumptions!$B$8/12,Assumptions!$B$9*12,((Assumptions!$B$5*(1+$B33))*Assumptions!$B$7))*12)</f>
        <v>232863.1587971</v>
      </c>
      <c r="G33" s="36" t="n">
        <f aca="false">Returns!G15+Returns!G16-(-PMT(Assumptions!$B$8/12,Assumptions!$B$9*12,((Assumptions!$B$5*(1+$B33))*Assumptions!$B$7))*12)</f>
        <v>571588.479562217</v>
      </c>
      <c r="H33" s="36" t="n">
        <f aca="false">Returns!H15+Returns!H16-(-PMT(Assumptions!$B$8/12,Assumptions!$B$9*12,((Assumptions!$B$5*(1+$B33))*Assumptions!$B$7))*12)</f>
        <v>247795.295875118</v>
      </c>
      <c r="I33" s="36" t="n">
        <f aca="false">Returns!I15+Returns!I16-(-PMT(Assumptions!$B$8/12,Assumptions!$B$9*12,((Assumptions!$B$5*(1+$B33))*Assumptions!$B$7))*12)</f>
        <v>686634.310283415</v>
      </c>
      <c r="J33" s="36" t="n">
        <f aca="false">Returns!J15+Returns!J16-(-PMT(Assumptions!$B$8/12,Assumptions!$B$9*12,((Assumptions!$B$5*(1+$B33))*Assumptions!$B$7))*12)+'Property CF'!$J$19/$A33*(1-Assumptions!$B$12)-(-FV(Assumptions!$B$8/12,7*12,(-PMT(Assumptions!$B$8/12,Assumptions!$B$9*12,((Assumptions!$B$5*(1+$B33))*Assumptions!$B$7))*12)/12*-1,((Assumptions!$B$5*(1+$B33))*Assumptions!$B$7)))</f>
        <v>14430033.9857393</v>
      </c>
      <c r="K33" s="57" t="n">
        <f aca="false">IRR(C33:J33)</f>
        <v>0.119982153548385</v>
      </c>
    </row>
    <row r="34" customFormat="false" ht="15" hidden="false" customHeight="false" outlineLevel="0" collapsed="false">
      <c r="A34" s="56" t="n">
        <f aca="false">$A$9</f>
        <v>0.075</v>
      </c>
      <c r="B34" s="57" t="n">
        <f aca="false">E$5</f>
        <v>0.05</v>
      </c>
      <c r="C34" s="36" t="n">
        <f aca="false">-((Assumptions!$B$5*(1+$B34))*(1+Assumptions!$B$6)-((Assumptions!$B$5*(1+$B34))*Assumptions!$B$7))</f>
        <v>-8366400</v>
      </c>
      <c r="D34" s="36" t="n">
        <f aca="false">Returns!D15+Returns!D16-(-PMT(Assumptions!$B$8/12,Assumptions!$B$9*12,((Assumptions!$B$5*(1+$B34))*Assumptions!$B$7))*12)</f>
        <v>234619.607923339</v>
      </c>
      <c r="E34" s="36" t="n">
        <f aca="false">Returns!E15+Returns!E16-(-PMT(Assumptions!$B$8/12,Assumptions!$B$9*12,((Assumptions!$B$5*(1+$B34))*Assumptions!$B$7))*12)</f>
        <v>165709.485748339</v>
      </c>
      <c r="F34" s="36" t="n">
        <f aca="false">Returns!F15+Returns!F16-(-PMT(Assumptions!$B$8/12,Assumptions!$B$9*12,((Assumptions!$B$5*(1+$B34))*Assumptions!$B$7))*12)</f>
        <v>185107.354174401</v>
      </c>
      <c r="G34" s="36" t="n">
        <f aca="false">Returns!G15+Returns!G16-(-PMT(Assumptions!$B$8/12,Assumptions!$B$9*12,((Assumptions!$B$5*(1+$B34))*Assumptions!$B$7))*12)</f>
        <v>523832.674939519</v>
      </c>
      <c r="H34" s="36" t="n">
        <f aca="false">Returns!H15+Returns!H16-(-PMT(Assumptions!$B$8/12,Assumptions!$B$9*12,((Assumptions!$B$5*(1+$B34))*Assumptions!$B$7))*12)</f>
        <v>200039.49125242</v>
      </c>
      <c r="I34" s="36" t="n">
        <f aca="false">Returns!I15+Returns!I16-(-PMT(Assumptions!$B$8/12,Assumptions!$B$9*12,((Assumptions!$B$5*(1+$B34))*Assumptions!$B$7))*12)</f>
        <v>638878.505660717</v>
      </c>
      <c r="J34" s="36" t="n">
        <f aca="false">Returns!J15+Returns!J16-(-PMT(Assumptions!$B$8/12,Assumptions!$B$9*12,((Assumptions!$B$5*(1+$B34))*Assumptions!$B$7))*12)+'Property CF'!$J$19/$A34*(1-Assumptions!$B$12)-(-FV(Assumptions!$B$8/12,7*12,(-PMT(Assumptions!$B$8/12,Assumptions!$B$9*12,((Assumptions!$B$5*(1+$B34))*Assumptions!$B$7))*12)/12*-1,((Assumptions!$B$5*(1+$B34))*Assumptions!$B$7)))</f>
        <v>13885421.0331206</v>
      </c>
      <c r="K34" s="57" t="n">
        <f aca="false">IRR(C34:J34)</f>
        <v>0.10183095142966</v>
      </c>
    </row>
    <row r="35" customFormat="false" ht="15" hidden="false" customHeight="false" outlineLevel="0" collapsed="false">
      <c r="A35" s="56" t="n">
        <f aca="false">$A$9</f>
        <v>0.075</v>
      </c>
      <c r="B35" s="57" t="n">
        <f aca="false">F$5</f>
        <v>0.1</v>
      </c>
      <c r="C35" s="36" t="n">
        <f aca="false">-((Assumptions!$B$5*(1+$B35))*(1+Assumptions!$B$6)-((Assumptions!$B$5*(1+$B35))*Assumptions!$B$7))</f>
        <v>-8764800</v>
      </c>
      <c r="D35" s="36" t="n">
        <f aca="false">Returns!D15+Returns!D16-(-PMT(Assumptions!$B$8/12,Assumptions!$B$9*12,((Assumptions!$B$5*(1+$B35))*Assumptions!$B$7))*12)</f>
        <v>186863.803300641</v>
      </c>
      <c r="E35" s="36" t="n">
        <f aca="false">Returns!E15+Returns!E16-(-PMT(Assumptions!$B$8/12,Assumptions!$B$9*12,((Assumptions!$B$5*(1+$B35))*Assumptions!$B$7))*12)</f>
        <v>117953.68112564</v>
      </c>
      <c r="F35" s="36" t="n">
        <f aca="false">Returns!F15+Returns!F16-(-PMT(Assumptions!$B$8/12,Assumptions!$B$9*12,((Assumptions!$B$5*(1+$B35))*Assumptions!$B$7))*12)</f>
        <v>137351.549551703</v>
      </c>
      <c r="G35" s="36" t="n">
        <f aca="false">Returns!G15+Returns!G16-(-PMT(Assumptions!$B$8/12,Assumptions!$B$9*12,((Assumptions!$B$5*(1+$B35))*Assumptions!$B$7))*12)</f>
        <v>476076.870316821</v>
      </c>
      <c r="H35" s="36" t="n">
        <f aca="false">Returns!H15+Returns!H16-(-PMT(Assumptions!$B$8/12,Assumptions!$B$9*12,((Assumptions!$B$5*(1+$B35))*Assumptions!$B$7))*12)</f>
        <v>152283.686629722</v>
      </c>
      <c r="I35" s="36" t="n">
        <f aca="false">Returns!I15+Returns!I16-(-PMT(Assumptions!$B$8/12,Assumptions!$B$9*12,((Assumptions!$B$5*(1+$B35))*Assumptions!$B$7))*12)</f>
        <v>591122.701038019</v>
      </c>
      <c r="J35" s="36" t="n">
        <f aca="false">Returns!J15+Returns!J16-(-PMT(Assumptions!$B$8/12,Assumptions!$B$9*12,((Assumptions!$B$5*(1+$B35))*Assumptions!$B$7))*12)+'Property CF'!$J$19/$A35*(1-Assumptions!$B$12)-(-FV(Assumptions!$B$8/12,7*12,(-PMT(Assumptions!$B$8/12,Assumptions!$B$9*12,((Assumptions!$B$5*(1+$B35))*Assumptions!$B$7))*12)/12*-1,((Assumptions!$B$5*(1+$B35))*Assumptions!$B$7)))</f>
        <v>13340808.0805019</v>
      </c>
      <c r="K35" s="57" t="n">
        <f aca="false">IRR(C35:J35)</f>
        <v>0.0842258493202531</v>
      </c>
    </row>
    <row r="36" customFormat="false" ht="15" hidden="false" customHeight="false" outlineLevel="0" collapsed="false">
      <c r="A36" s="56" t="n">
        <f aca="false">$A$10</f>
        <v>0.0775</v>
      </c>
      <c r="B36" s="57" t="n">
        <f aca="false">B$5</f>
        <v>-0.1</v>
      </c>
      <c r="C36" s="36" t="n">
        <f aca="false">-((Assumptions!$B$5*(1+$B36))*(1+Assumptions!$B$6)-((Assumptions!$B$5*(1+$B36))*Assumptions!$B$7))</f>
        <v>-7171200</v>
      </c>
      <c r="D36" s="36" t="n">
        <f aca="false">Returns!D15+Returns!D16-(-PMT(Assumptions!$B$8/12,Assumptions!$B$9*12,((Assumptions!$B$5*(1+$B36))*Assumptions!$B$7))*12)</f>
        <v>377887.021791433</v>
      </c>
      <c r="E36" s="36" t="n">
        <f aca="false">Returns!E15+Returns!E16-(-PMT(Assumptions!$B$8/12,Assumptions!$B$9*12,((Assumptions!$B$5*(1+$B36))*Assumptions!$B$7))*12)</f>
        <v>308976.899616433</v>
      </c>
      <c r="F36" s="36" t="n">
        <f aca="false">Returns!F15+Returns!F16-(-PMT(Assumptions!$B$8/12,Assumptions!$B$9*12,((Assumptions!$B$5*(1+$B36))*Assumptions!$B$7))*12)</f>
        <v>328374.768042496</v>
      </c>
      <c r="G36" s="36" t="n">
        <f aca="false">Returns!G15+Returns!G16-(-PMT(Assumptions!$B$8/12,Assumptions!$B$9*12,((Assumptions!$B$5*(1+$B36))*Assumptions!$B$7))*12)</f>
        <v>667100.088807614</v>
      </c>
      <c r="H36" s="36" t="n">
        <f aca="false">Returns!H15+Returns!H16-(-PMT(Assumptions!$B$8/12,Assumptions!$B$9*12,((Assumptions!$B$5*(1+$B36))*Assumptions!$B$7))*12)</f>
        <v>343306.905120515</v>
      </c>
      <c r="I36" s="36" t="n">
        <f aca="false">Returns!I15+Returns!I16-(-PMT(Assumptions!$B$8/12,Assumptions!$B$9*12,((Assumptions!$B$5*(1+$B36))*Assumptions!$B$7))*12)</f>
        <v>782145.919528812</v>
      </c>
      <c r="J36" s="36" t="n">
        <f aca="false">Returns!J15+Returns!J16-(-PMT(Assumptions!$B$8/12,Assumptions!$B$9*12,((Assumptions!$B$5*(1+$B36))*Assumptions!$B$7))*12)+'Property CF'!$J$19/$A36*(1-Assumptions!$B$12)-(-FV(Assumptions!$B$8/12,7*12,(-PMT(Assumptions!$B$8/12,Assumptions!$B$9*12,((Assumptions!$B$5*(1+$B36))*Assumptions!$B$7))*12)/12*-1,((Assumptions!$B$5*(1+$B36))*Assumptions!$B$7)))</f>
        <v>14747310.4629399</v>
      </c>
      <c r="K36" s="57" t="n">
        <f aca="false">IRR(C36:J36)</f>
        <v>0.151065822326151</v>
      </c>
    </row>
    <row r="37" customFormat="false" ht="15" hidden="false" customHeight="false" outlineLevel="0" collapsed="false">
      <c r="A37" s="56" t="n">
        <f aca="false">$A$10</f>
        <v>0.0775</v>
      </c>
      <c r="B37" s="57" t="n">
        <f aca="false">C$5</f>
        <v>-0.05</v>
      </c>
      <c r="C37" s="36" t="n">
        <f aca="false">-((Assumptions!$B$5*(1+$B37))*(1+Assumptions!$B$6)-((Assumptions!$B$5*(1+$B37))*Assumptions!$B$7))</f>
        <v>-7569600</v>
      </c>
      <c r="D37" s="36" t="n">
        <f aca="false">Returns!D15+Returns!D16-(-PMT(Assumptions!$B$8/12,Assumptions!$B$9*12,((Assumptions!$B$5*(1+$B37))*Assumptions!$B$7))*12)</f>
        <v>330131.217168735</v>
      </c>
      <c r="E37" s="36" t="n">
        <f aca="false">Returns!E15+Returns!E16-(-PMT(Assumptions!$B$8/12,Assumptions!$B$9*12,((Assumptions!$B$5*(1+$B37))*Assumptions!$B$7))*12)</f>
        <v>261221.094993735</v>
      </c>
      <c r="F37" s="36" t="n">
        <f aca="false">Returns!F15+Returns!F16-(-PMT(Assumptions!$B$8/12,Assumptions!$B$9*12,((Assumptions!$B$5*(1+$B37))*Assumptions!$B$7))*12)</f>
        <v>280618.963419798</v>
      </c>
      <c r="G37" s="36" t="n">
        <f aca="false">Returns!G15+Returns!G16-(-PMT(Assumptions!$B$8/12,Assumptions!$B$9*12,((Assumptions!$B$5*(1+$B37))*Assumptions!$B$7))*12)</f>
        <v>619344.284184916</v>
      </c>
      <c r="H37" s="36" t="n">
        <f aca="false">Returns!H15+Returns!H16-(-PMT(Assumptions!$B$8/12,Assumptions!$B$9*12,((Assumptions!$B$5*(1+$B37))*Assumptions!$B$7))*12)</f>
        <v>295551.100497817</v>
      </c>
      <c r="I37" s="36" t="n">
        <f aca="false">Returns!I15+Returns!I16-(-PMT(Assumptions!$B$8/12,Assumptions!$B$9*12,((Assumptions!$B$5*(1+$B37))*Assumptions!$B$7))*12)</f>
        <v>734390.114906113</v>
      </c>
      <c r="J37" s="36" t="n">
        <f aca="false">Returns!J15+Returns!J16-(-PMT(Assumptions!$B$8/12,Assumptions!$B$9*12,((Assumptions!$B$5*(1+$B37))*Assumptions!$B$7))*12)+'Property CF'!$J$19/$A37*(1-Assumptions!$B$12)-(-FV(Assumptions!$B$8/12,7*12,(-PMT(Assumptions!$B$8/12,Assumptions!$B$9*12,((Assumptions!$B$5*(1+$B37))*Assumptions!$B$7))*12)/12*-1,((Assumptions!$B$5*(1+$B37))*Assumptions!$B$7)))</f>
        <v>14202697.5103212</v>
      </c>
      <c r="K37" s="57" t="n">
        <f aca="false">IRR(C37:J37)</f>
        <v>0.131220902023969</v>
      </c>
    </row>
    <row r="38" customFormat="false" ht="15" hidden="false" customHeight="false" outlineLevel="0" collapsed="false">
      <c r="A38" s="56" t="n">
        <f aca="false">$A$10</f>
        <v>0.0775</v>
      </c>
      <c r="B38" s="57" t="n">
        <f aca="false">D$5</f>
        <v>0</v>
      </c>
      <c r="C38" s="36" t="n">
        <f aca="false">-((Assumptions!$B$5*(1+$B38))*(1+Assumptions!$B$6)-((Assumptions!$B$5*(1+$B38))*Assumptions!$B$7))</f>
        <v>-7968000</v>
      </c>
      <c r="D38" s="36" t="n">
        <f aca="false">Returns!D15+Returns!D16-(-PMT(Assumptions!$B$8/12,Assumptions!$B$9*12,((Assumptions!$B$5*(1+$B38))*Assumptions!$B$7))*12)</f>
        <v>282375.412546037</v>
      </c>
      <c r="E38" s="36" t="n">
        <f aca="false">Returns!E15+Returns!E16-(-PMT(Assumptions!$B$8/12,Assumptions!$B$9*12,((Assumptions!$B$5*(1+$B38))*Assumptions!$B$7))*12)</f>
        <v>213465.290371037</v>
      </c>
      <c r="F38" s="36" t="n">
        <f aca="false">Returns!F15+Returns!F16-(-PMT(Assumptions!$B$8/12,Assumptions!$B$9*12,((Assumptions!$B$5*(1+$B38))*Assumptions!$B$7))*12)</f>
        <v>232863.1587971</v>
      </c>
      <c r="G38" s="36" t="n">
        <f aca="false">Returns!G15+Returns!G16-(-PMT(Assumptions!$B$8/12,Assumptions!$B$9*12,((Assumptions!$B$5*(1+$B38))*Assumptions!$B$7))*12)</f>
        <v>571588.479562217</v>
      </c>
      <c r="H38" s="36" t="n">
        <f aca="false">Returns!H15+Returns!H16-(-PMT(Assumptions!$B$8/12,Assumptions!$B$9*12,((Assumptions!$B$5*(1+$B38))*Assumptions!$B$7))*12)</f>
        <v>247795.295875118</v>
      </c>
      <c r="I38" s="36" t="n">
        <f aca="false">Returns!I15+Returns!I16-(-PMT(Assumptions!$B$8/12,Assumptions!$B$9*12,((Assumptions!$B$5*(1+$B38))*Assumptions!$B$7))*12)</f>
        <v>686634.310283415</v>
      </c>
      <c r="J38" s="36" t="n">
        <f aca="false">Returns!J15+Returns!J16-(-PMT(Assumptions!$B$8/12,Assumptions!$B$9*12,((Assumptions!$B$5*(1+$B38))*Assumptions!$B$7))*12)+'Property CF'!$J$19/$A38*(1-Assumptions!$B$12)-(-FV(Assumptions!$B$8/12,7*12,(-PMT(Assumptions!$B$8/12,Assumptions!$B$9*12,((Assumptions!$B$5*(1+$B38))*Assumptions!$B$7))*12)/12*-1,((Assumptions!$B$5*(1+$B38))*Assumptions!$B$7)))</f>
        <v>13658084.5577025</v>
      </c>
      <c r="K38" s="57" t="n">
        <f aca="false">IRR(C38:J38)</f>
        <v>0.112148100615456</v>
      </c>
    </row>
    <row r="39" customFormat="false" ht="15" hidden="false" customHeight="false" outlineLevel="0" collapsed="false">
      <c r="A39" s="56" t="n">
        <f aca="false">$A$10</f>
        <v>0.0775</v>
      </c>
      <c r="B39" s="57" t="n">
        <f aca="false">E$5</f>
        <v>0.05</v>
      </c>
      <c r="C39" s="36" t="n">
        <f aca="false">-((Assumptions!$B$5*(1+$B39))*(1+Assumptions!$B$6)-((Assumptions!$B$5*(1+$B39))*Assumptions!$B$7))</f>
        <v>-8366400</v>
      </c>
      <c r="D39" s="36" t="n">
        <f aca="false">Returns!D15+Returns!D16-(-PMT(Assumptions!$B$8/12,Assumptions!$B$9*12,((Assumptions!$B$5*(1+$B39))*Assumptions!$B$7))*12)</f>
        <v>234619.607923339</v>
      </c>
      <c r="E39" s="36" t="n">
        <f aca="false">Returns!E15+Returns!E16-(-PMT(Assumptions!$B$8/12,Assumptions!$B$9*12,((Assumptions!$B$5*(1+$B39))*Assumptions!$B$7))*12)</f>
        <v>165709.485748339</v>
      </c>
      <c r="F39" s="36" t="n">
        <f aca="false">Returns!F15+Returns!F16-(-PMT(Assumptions!$B$8/12,Assumptions!$B$9*12,((Assumptions!$B$5*(1+$B39))*Assumptions!$B$7))*12)</f>
        <v>185107.354174401</v>
      </c>
      <c r="G39" s="36" t="n">
        <f aca="false">Returns!G15+Returns!G16-(-PMT(Assumptions!$B$8/12,Assumptions!$B$9*12,((Assumptions!$B$5*(1+$B39))*Assumptions!$B$7))*12)</f>
        <v>523832.674939519</v>
      </c>
      <c r="H39" s="36" t="n">
        <f aca="false">Returns!H15+Returns!H16-(-PMT(Assumptions!$B$8/12,Assumptions!$B$9*12,((Assumptions!$B$5*(1+$B39))*Assumptions!$B$7))*12)</f>
        <v>200039.49125242</v>
      </c>
      <c r="I39" s="36" t="n">
        <f aca="false">Returns!I15+Returns!I16-(-PMT(Assumptions!$B$8/12,Assumptions!$B$9*12,((Assumptions!$B$5*(1+$B39))*Assumptions!$B$7))*12)</f>
        <v>638878.505660717</v>
      </c>
      <c r="J39" s="36" t="n">
        <f aca="false">Returns!J15+Returns!J16-(-PMT(Assumptions!$B$8/12,Assumptions!$B$9*12,((Assumptions!$B$5*(1+$B39))*Assumptions!$B$7))*12)+'Property CF'!$J$19/$A39*(1-Assumptions!$B$12)-(-FV(Assumptions!$B$8/12,7*12,(-PMT(Assumptions!$B$8/12,Assumptions!$B$9*12,((Assumptions!$B$5*(1+$B39))*Assumptions!$B$7))*12)/12*-1,((Assumptions!$B$5*(1+$B39))*Assumptions!$B$7)))</f>
        <v>13113471.6050838</v>
      </c>
      <c r="K39" s="57" t="n">
        <f aca="false">IRR(C39:J39)</f>
        <v>0.0937141203302971</v>
      </c>
    </row>
    <row r="40" customFormat="false" ht="15" hidden="false" customHeight="false" outlineLevel="0" collapsed="false">
      <c r="A40" s="56" t="n">
        <f aca="false">$A$10</f>
        <v>0.0775</v>
      </c>
      <c r="B40" s="57" t="n">
        <f aca="false">F$5</f>
        <v>0.1</v>
      </c>
      <c r="C40" s="36" t="n">
        <f aca="false">-((Assumptions!$B$5*(1+$B40))*(1+Assumptions!$B$6)-((Assumptions!$B$5*(1+$B40))*Assumptions!$B$7))</f>
        <v>-8764800</v>
      </c>
      <c r="D40" s="36" t="n">
        <f aca="false">Returns!D15+Returns!D16-(-PMT(Assumptions!$B$8/12,Assumptions!$B$9*12,((Assumptions!$B$5*(1+$B40))*Assumptions!$B$7))*12)</f>
        <v>186863.803300641</v>
      </c>
      <c r="E40" s="36" t="n">
        <f aca="false">Returns!E15+Returns!E16-(-PMT(Assumptions!$B$8/12,Assumptions!$B$9*12,((Assumptions!$B$5*(1+$B40))*Assumptions!$B$7))*12)</f>
        <v>117953.68112564</v>
      </c>
      <c r="F40" s="36" t="n">
        <f aca="false">Returns!F15+Returns!F16-(-PMT(Assumptions!$B$8/12,Assumptions!$B$9*12,((Assumptions!$B$5*(1+$B40))*Assumptions!$B$7))*12)</f>
        <v>137351.549551703</v>
      </c>
      <c r="G40" s="36" t="n">
        <f aca="false">Returns!G15+Returns!G16-(-PMT(Assumptions!$B$8/12,Assumptions!$B$9*12,((Assumptions!$B$5*(1+$B40))*Assumptions!$B$7))*12)</f>
        <v>476076.870316821</v>
      </c>
      <c r="H40" s="36" t="n">
        <f aca="false">Returns!H15+Returns!H16-(-PMT(Assumptions!$B$8/12,Assumptions!$B$9*12,((Assumptions!$B$5*(1+$B40))*Assumptions!$B$7))*12)</f>
        <v>152283.686629722</v>
      </c>
      <c r="I40" s="36" t="n">
        <f aca="false">Returns!I15+Returns!I16-(-PMT(Assumptions!$B$8/12,Assumptions!$B$9*12,((Assumptions!$B$5*(1+$B40))*Assumptions!$B$7))*12)</f>
        <v>591122.701038019</v>
      </c>
      <c r="J40" s="36" t="n">
        <f aca="false">Returns!J15+Returns!J16-(-PMT(Assumptions!$B$8/12,Assumptions!$B$9*12,((Assumptions!$B$5*(1+$B40))*Assumptions!$B$7))*12)+'Property CF'!$J$19/$A40*(1-Assumptions!$B$12)-(-FV(Assumptions!$B$8/12,7*12,(-PMT(Assumptions!$B$8/12,Assumptions!$B$9*12,((Assumptions!$B$5*(1+$B40))*Assumptions!$B$7))*12)/12*-1,((Assumptions!$B$5*(1+$B40))*Assumptions!$B$7)))</f>
        <v>12568858.6524651</v>
      </c>
      <c r="K40" s="57" t="n">
        <f aca="false">IRR(C40:J40)</f>
        <v>0.0758028177626132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property.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6"/>
    <col collapsed="false" customWidth="true" hidden="false" outlineLevel="0" max="3" min="3" style="0" width="12"/>
  </cols>
  <sheetData>
    <row r="1" customFormat="false" ht="19.7" hidden="false" customHeight="false" outlineLevel="0" collapsed="false">
      <c r="A1" s="1" t="s">
        <v>186</v>
      </c>
    </row>
    <row r="2" customFormat="false" ht="15" hidden="false" customHeight="false" outlineLevel="0" collapsed="false">
      <c r="A2" s="2" t="s">
        <v>187</v>
      </c>
    </row>
    <row r="4" customFormat="false" ht="15" hidden="false" customHeight="false" outlineLevel="0" collapsed="false">
      <c r="A4" s="24" t="s">
        <v>188</v>
      </c>
      <c r="B4" s="25" t="s">
        <v>189</v>
      </c>
      <c r="C4" s="25" t="s">
        <v>190</v>
      </c>
    </row>
    <row r="5" customFormat="false" ht="15" hidden="false" customHeight="false" outlineLevel="0" collapsed="false">
      <c r="A5" s="5" t="s">
        <v>191</v>
      </c>
      <c r="B5" s="51" t="n">
        <f aca="false">ROUND(Tenants!C12-124000,0)</f>
        <v>0</v>
      </c>
      <c r="C5" s="58" t="str">
        <f aca="false">IF(B5=0,"OK","CHECK")</f>
        <v>OK</v>
      </c>
    </row>
    <row r="6" customFormat="false" ht="15" hidden="false" customHeight="false" outlineLevel="0" collapsed="false">
      <c r="A6" s="5" t="s">
        <v>192</v>
      </c>
      <c r="B6" s="51" t="n">
        <f aca="false">ROUND((Tenants!Q12-1)*10000,0)</f>
        <v>0</v>
      </c>
      <c r="C6" s="58" t="str">
        <f aca="false">IF(B6=0,"OK","CHECK")</f>
        <v>OK</v>
      </c>
    </row>
    <row r="7" customFormat="false" ht="15" hidden="false" customHeight="false" outlineLevel="0" collapsed="false">
      <c r="A7" s="5" t="s">
        <v>193</v>
      </c>
      <c r="B7" s="51" t="n">
        <f aca="false">ROUND(-Returns!C29+Returns!B6-Assumptions!$B$5*(1+Assumptions!$B$6),0)</f>
        <v>0</v>
      </c>
      <c r="C7" s="58" t="str">
        <f aca="false">IF(B7=0,"OK","CHECK")</f>
        <v>OK</v>
      </c>
    </row>
    <row r="8" customFormat="false" ht="15" hidden="false" customHeight="false" outlineLevel="0" collapsed="false">
      <c r="A8" s="5" t="s">
        <v>194</v>
      </c>
      <c r="B8" s="51" t="n">
        <f aca="false">ROUND('Property CF'!C19-('Property CF'!C13+'Property CF'!C18),0)</f>
        <v>0</v>
      </c>
      <c r="C8" s="58" t="str">
        <f aca="false">IF(B8=0,"OK","CHECK")</f>
        <v>OK</v>
      </c>
    </row>
    <row r="9" customFormat="false" ht="15" hidden="false" customHeight="false" outlineLevel="0" collapsed="false">
      <c r="A9" s="5" t="s">
        <v>195</v>
      </c>
      <c r="B9" s="51" t="n">
        <f aca="false">IF(AND(MIN(Tenants!I5:I11)&gt;=0,MAX(Tenants!I5:I11)&lt;=1),0,1)</f>
        <v>0</v>
      </c>
      <c r="C9" s="58" t="str">
        <f aca="false">IF(B9=0,"OK","CHECK")</f>
        <v>OK</v>
      </c>
    </row>
    <row r="10" customFormat="false" ht="15" hidden="false" customHeight="false" outlineLevel="0" collapsed="false">
      <c r="A10" s="5" t="s">
        <v>196</v>
      </c>
      <c r="B10" s="51" t="n">
        <f aca="false">IF(AND(MAX(Tenants!J5:K11)&lt;=12),0,1)</f>
        <v>0</v>
      </c>
      <c r="C10" s="58" t="str">
        <f aca="false">IF(B10=0,"OK","CHECK")</f>
        <v>OK</v>
      </c>
    </row>
    <row r="11" customFormat="false" ht="15" hidden="false" customHeight="false" outlineLevel="0" collapsed="false">
      <c r="A11" s="5" t="s">
        <v>197</v>
      </c>
      <c r="B11" s="51" t="n">
        <f aca="false">IF(MAX('Lease Summary'!D20:D27)&lt;=1,0,1)</f>
        <v>0</v>
      </c>
      <c r="C11" s="58" t="str">
        <f aca="false">IF(B11=0,"OK","CHECK")</f>
        <v>OK</v>
      </c>
    </row>
    <row r="12" customFormat="false" ht="15" hidden="false" customHeight="false" outlineLevel="0" collapsed="false">
      <c r="A12" s="5" t="s">
        <v>198</v>
      </c>
      <c r="B12" s="51" t="n">
        <f aca="false">ROUND((Sensitivity!D8-Returns!C32)*10000,0)</f>
        <v>0</v>
      </c>
      <c r="C12" s="58" t="str">
        <f aca="false">IF(B12=0,"OK","CHECK")</f>
        <v>OK</v>
      </c>
    </row>
    <row r="13" customFormat="false" ht="15" hidden="false" customHeight="false" outlineLevel="0" collapsed="false">
      <c r="A13" s="5" t="s">
        <v>199</v>
      </c>
      <c r="B13" s="51" t="n">
        <f aca="false">IF(Returns!B11&gt;=1.2,0,1)</f>
        <v>0</v>
      </c>
      <c r="C13" s="58" t="str">
        <f aca="false">IF(B13=0,"OK","CHECK")</f>
        <v>OK</v>
      </c>
    </row>
    <row r="15" customFormat="false" ht="15" hidden="false" customHeight="false" outlineLevel="0" collapsed="false">
      <c r="A15" s="59" t="s">
        <v>200</v>
      </c>
      <c r="B15" s="60" t="str">
        <f aca="false">IF(COUNTIF(C5:C13,"OK")=9,"ALL CHECKS PASS","REVIEW CHECKS")</f>
        <v>ALL CHECKS PASS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AA Deal Desk  |  aadealdesk.online  |  Sample deal. Illustrative figures, not a real property.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2026-10-23T19:45:13Z</dcterms:created>
  <dc:creator>openpyxl</dc:creator>
  <dc:description/>
  <dc:language>en-US</dc:language>
  <cp:lastModifiedBy/>
  <dcterms:modified xsi:type="dcterms:W3CDTF">2026-10-23T19:45:13Z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