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ssumptions" sheetId="2" state="visible" r:id="rId4"/>
    <sheet name="Budget" sheetId="3" state="visible" r:id="rId5"/>
    <sheet name="Timeline" sheetId="4" state="visible" r:id="rId6"/>
    <sheet name="Return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<sst xmlns="http://schemas.openxmlformats.org/spreadsheetml/2006/main" count="237" uniqueCount="205">
  <si>
    <t xml:space="preserve">AA Deal Desk | Sample Development Summary</t>
  </si>
  <si>
    <t xml:space="preserve">120-unit ground-up multifamily. Illustrative figures for a sample project. Inputs are on the Assumptions and Timeline sheets.</t>
  </si>
  <si>
    <t xml:space="preserve">Project</t>
  </si>
  <si>
    <t xml:space="preserve">Returns</t>
  </si>
  <si>
    <t xml:space="preserve">Product</t>
  </si>
  <si>
    <t xml:space="preserve">120-unit garden-style multifamily</t>
  </si>
  <si>
    <t xml:space="preserve">Exit cap rate</t>
  </si>
  <si>
    <t xml:space="preserve">Total project cost</t>
  </si>
  <si>
    <t xml:space="preserve">Development spread (bps)</t>
  </si>
  <si>
    <t xml:space="preserve">Cost per unit</t>
  </si>
  <si>
    <t xml:space="preserve">Stabilized value</t>
  </si>
  <si>
    <t xml:space="preserve">Land and closing</t>
  </si>
  <si>
    <t xml:space="preserve">Profit on cost</t>
  </si>
  <si>
    <t xml:space="preserve">Total hard costs</t>
  </si>
  <si>
    <t xml:space="preserve">Gross sale price (quarter 18)</t>
  </si>
  <si>
    <t xml:space="preserve">Total soft costs</t>
  </si>
  <si>
    <t xml:space="preserve">Levered IRR (annualized)</t>
  </si>
  <si>
    <t xml:space="preserve">Construction loan commitment</t>
  </si>
  <si>
    <t xml:space="preserve">Equity multiple</t>
  </si>
  <si>
    <t xml:space="preserve">Equity required</t>
  </si>
  <si>
    <t xml:space="preserve">Total profit to equity</t>
  </si>
  <si>
    <t xml:space="preserve">Stabilized NOI (today's rents)</t>
  </si>
  <si>
    <t xml:space="preserve">Peak loan balance</t>
  </si>
  <si>
    <t xml:space="preserve">Yield on cost (today's rents)</t>
  </si>
  <si>
    <t xml:space="preserve">Loan-to-cost at peak</t>
  </si>
  <si>
    <t xml:space="preserve">Trended yield on cost</t>
  </si>
  <si>
    <t xml:space="preserve">Trended spread (bps)</t>
  </si>
  <si>
    <t xml:space="preserve">How to read this workbook</t>
  </si>
  <si>
    <t xml:space="preserve">Assumptions: costs, financing, rents and exit (blue cells are inputs).</t>
  </si>
  <si>
    <t xml:space="preserve">Budget: total project cost and sources and uses.</t>
  </si>
  <si>
    <t xml:space="preserve">Timeline: quarterly costs, lease-up, construction loan, sale and equity cash flow.</t>
  </si>
  <si>
    <t xml:space="preserve">Returns: yield on cost, development spread, levered returns and the profit-on-cost grid.</t>
  </si>
  <si>
    <t xml:space="preserve">Sample project for demonstration. Prepared by AA Deal Desk. aadealdesk.online</t>
  </si>
  <si>
    <t xml:space="preserve">Model checks</t>
  </si>
  <si>
    <t xml:space="preserve">Assumptions</t>
  </si>
  <si>
    <t xml:space="preserve">AA Deal Desk | Sample 120-unit ground-up multifamily development. Blue = input. Black = formula. Green = link.</t>
  </si>
  <si>
    <t xml:space="preserve">Project and costs</t>
  </si>
  <si>
    <t xml:space="preserve">Number of units</t>
  </si>
  <si>
    <t xml:space="preserve">Garden-style, three stories.</t>
  </si>
  <si>
    <t xml:space="preserve">Average unit size (sq ft)</t>
  </si>
  <si>
    <t xml:space="preserve">For cost-per-foot statistics only.</t>
  </si>
  <si>
    <t xml:space="preserve">Gross building area (sq ft)</t>
  </si>
  <si>
    <t xml:space="preserve">Includes corridors, stairs and amenity space.</t>
  </si>
  <si>
    <t xml:space="preserve">Land and closing costs ($)</t>
  </si>
  <si>
    <t xml:space="preserve">Paid at closing, quarter 0.</t>
  </si>
  <si>
    <t xml:space="preserve">Site work and infrastructure ($)</t>
  </si>
  <si>
    <t xml:space="preserve">Grading, utilities, paving, landscaping.</t>
  </si>
  <si>
    <t xml:space="preserve">Building hard cost ($ per gross sq ft)</t>
  </si>
  <si>
    <t xml:space="preserve">Vertical construction.</t>
  </si>
  <si>
    <t xml:space="preserve">Hard cost contingency (% of site + building)</t>
  </si>
  <si>
    <t xml:space="preserve">Architecture and engineering (% of hard)</t>
  </si>
  <si>
    <t xml:space="preserve">Permits and impact fees ($ per unit)</t>
  </si>
  <si>
    <t xml:space="preserve">Legal, insurance and other soft (% of hard)</t>
  </si>
  <si>
    <t xml:space="preserve">Marketing and lease-up reserve ($)</t>
  </si>
  <si>
    <t xml:space="preserve">Spent in the last four construction quarters.</t>
  </si>
  <si>
    <t xml:space="preserve">Developer fee (% of land + hard + soft)</t>
  </si>
  <si>
    <t xml:space="preserve">Construction loan commitment ($)</t>
  </si>
  <si>
    <t xml:space="preserve">The Checks sheet confirms the loan never exceeds this.</t>
  </si>
  <si>
    <t xml:space="preserve">Loan interest rate (annual)</t>
  </si>
  <si>
    <t xml:space="preserve">Interest accrues on the opening balance each quarter and is added to the loan.</t>
  </si>
  <si>
    <t xml:space="preserve">Loan origination fee (% of commitment)</t>
  </si>
  <si>
    <t xml:space="preserve">Paid at closing.</t>
  </si>
  <si>
    <t xml:space="preserve">Equity (% of costs before interest)</t>
  </si>
  <si>
    <t xml:space="preserve">Equity goes in first, then the loan funds costs.</t>
  </si>
  <si>
    <t xml:space="preserve">Revenue and operations</t>
  </si>
  <si>
    <t xml:space="preserve">Average monthly rent today ($)</t>
  </si>
  <si>
    <t xml:space="preserve">Market rent for new product at today's prices.</t>
  </si>
  <si>
    <t xml:space="preserve">Other income per unit per month ($)</t>
  </si>
  <si>
    <t xml:space="preserve">Parking, pets, fees.</t>
  </si>
  <si>
    <t xml:space="preserve">Stabilized occupancy</t>
  </si>
  <si>
    <t xml:space="preserve">Operating expense ratio at stabilization (% of EGI)</t>
  </si>
  <si>
    <t xml:space="preserve">Fixed share of operating expenses</t>
  </si>
  <si>
    <t xml:space="preserve">Taxes, insurance and on-site base costs. The rest moves with income.</t>
  </si>
  <si>
    <t xml:space="preserve">Rent and expense growth (per year)</t>
  </si>
  <si>
    <t xml:space="preserve">Applied by quarter from quarter 0.</t>
  </si>
  <si>
    <t xml:space="preserve">First units delivered (quarter)</t>
  </si>
  <si>
    <t xml:space="preserve">Construction runs quarters 1 to 8.</t>
  </si>
  <si>
    <t xml:space="preserve">Occupancy in first quarter of lease-up</t>
  </si>
  <si>
    <t xml:space="preserve">Occupancy added per quarter</t>
  </si>
  <si>
    <t xml:space="preserve">Until stabilized occupancy is reached.</t>
  </si>
  <si>
    <t xml:space="preserve">Sale</t>
  </si>
  <si>
    <t xml:space="preserve">Sale quarter</t>
  </si>
  <si>
    <t xml:space="preserve">Fixed at quarter 18 in this layout.</t>
  </si>
  <si>
    <t xml:space="preserve">Applied to forward NOI (quarter 18 NOI x 4, grown one year).</t>
  </si>
  <si>
    <t xml:space="preserve">Sale costs (% of sale price)</t>
  </si>
  <si>
    <t xml:space="preserve">All figures are invented for this sample. Hard cost and soft cost timing is set on the Timeline sheet (blue rows).</t>
  </si>
  <si>
    <t xml:space="preserve">Development Budget</t>
  </si>
  <si>
    <t xml:space="preserve">AA Deal Desk | Total project cost, with sources and uses. All amounts flow from Assumptions and Timeline.</t>
  </si>
  <si>
    <t xml:space="preserve">Item</t>
  </si>
  <si>
    <t xml:space="preserve">Amount ($)</t>
  </si>
  <si>
    <t xml:space="preserve">$ per unit</t>
  </si>
  <si>
    <t xml:space="preserve">% of total</t>
  </si>
  <si>
    <t xml:space="preserve">Basis</t>
  </si>
  <si>
    <t xml:space="preserve">Land and closing costs</t>
  </si>
  <si>
    <t xml:space="preserve">Site work and infrastructure</t>
  </si>
  <si>
    <t xml:space="preserve">Building hard cost</t>
  </si>
  <si>
    <t xml:space="preserve">Gross sq ft x $ per sq ft</t>
  </si>
  <si>
    <t xml:space="preserve">Hard cost contingency</t>
  </si>
  <si>
    <t xml:space="preserve">% of site work + building</t>
  </si>
  <si>
    <t xml:space="preserve">Architecture and engineering</t>
  </si>
  <si>
    <t xml:space="preserve">% of hard</t>
  </si>
  <si>
    <t xml:space="preserve">Permits and impact fees</t>
  </si>
  <si>
    <t xml:space="preserve">$ per unit x units</t>
  </si>
  <si>
    <t xml:space="preserve">Legal, insurance and other soft</t>
  </si>
  <si>
    <t xml:space="preserve">Marketing and lease-up reserve</t>
  </si>
  <si>
    <t xml:space="preserve">Developer fee</t>
  </si>
  <si>
    <t xml:space="preserve">% of land + hard + soft</t>
  </si>
  <si>
    <t xml:space="preserve">Loan origination fee</t>
  </si>
  <si>
    <t xml:space="preserve">% of commitment</t>
  </si>
  <si>
    <t xml:space="preserve">Total costs before interest</t>
  </si>
  <si>
    <t xml:space="preserve">Capitalized interest and carry</t>
  </si>
  <si>
    <t xml:space="preserve">Sum of quarterly interest on the Timeline sheet</t>
  </si>
  <si>
    <t xml:space="preserve">Sources and uses</t>
  </si>
  <si>
    <t xml:space="preserve">Uses</t>
  </si>
  <si>
    <t xml:space="preserve">Costs before interest</t>
  </si>
  <si>
    <t xml:space="preserve">Total uses</t>
  </si>
  <si>
    <t xml:space="preserve">Sources</t>
  </si>
  <si>
    <t xml:space="preserve">Equity</t>
  </si>
  <si>
    <t xml:space="preserve">Construction loan (costs funded by loan)</t>
  </si>
  <si>
    <t xml:space="preserve">Interest funded by loan or paid from operations</t>
  </si>
  <si>
    <t xml:space="preserve">Total sources</t>
  </si>
  <si>
    <t xml:space="preserve">Interest is added to the loan while the project is under construction. Operating income during lease-up reduces the loan before it is repaid at sale.</t>
  </si>
  <si>
    <t xml:space="preserve">Quarterly Timeline: Construction, Lease-up and Sale</t>
  </si>
  <si>
    <t xml:space="preserve">AA Deal Desk | Quarter 0 is closing. Construction quarters 1 to 8. Sale at quarter 18. Blue rows are input schedules.</t>
  </si>
  <si>
    <t xml:space="preserve">($)</t>
  </si>
  <si>
    <t xml:space="preserve">Q0</t>
  </si>
  <si>
    <t xml:space="preserve">Q1</t>
  </si>
  <si>
    <t xml:space="preserve">Q2</t>
  </si>
  <si>
    <t xml:space="preserve">Q3</t>
  </si>
  <si>
    <t xml:space="preserve">Q4</t>
  </si>
  <si>
    <t xml:space="preserve">Q5</t>
  </si>
  <si>
    <t xml:space="preserve">Q6</t>
  </si>
  <si>
    <t xml:space="preserve">Q7</t>
  </si>
  <si>
    <t xml:space="preserve">Q8</t>
  </si>
  <si>
    <t xml:space="preserve">Q9</t>
  </si>
  <si>
    <t xml:space="preserve">Q10</t>
  </si>
  <si>
    <t xml:space="preserve">Q11</t>
  </si>
  <si>
    <t xml:space="preserve">Q12</t>
  </si>
  <si>
    <t xml:space="preserve">Q13</t>
  </si>
  <si>
    <t xml:space="preserve">Q14</t>
  </si>
  <si>
    <t xml:space="preserve">Q15</t>
  </si>
  <si>
    <t xml:space="preserve">Q16</t>
  </si>
  <si>
    <t xml:space="preserve">Q17</t>
  </si>
  <si>
    <t xml:space="preserve">Q18</t>
  </si>
  <si>
    <t xml:space="preserve">Quarter index</t>
  </si>
  <si>
    <t xml:space="preserve">Hard cost and developer fee schedule (%)</t>
  </si>
  <si>
    <t xml:space="preserve">Marketing reserve schedule (%)</t>
  </si>
  <si>
    <t xml:space="preserve">Schedules must each add to 100% (see Checks sheet).</t>
  </si>
  <si>
    <t xml:space="preserve">Hard costs</t>
  </si>
  <si>
    <t xml:space="preserve">Soft costs (A&amp;E, permits, legal)</t>
  </si>
  <si>
    <t xml:space="preserve">Marketing reserve</t>
  </si>
  <si>
    <t xml:space="preserve">Equity contribution</t>
  </si>
  <si>
    <t xml:space="preserve">Costs funded by construction loan</t>
  </si>
  <si>
    <t xml:space="preserve">Lease-up and operations</t>
  </si>
  <si>
    <t xml:space="preserve">Occupancy</t>
  </si>
  <si>
    <t xml:space="preserve">Effective gross income</t>
  </si>
  <si>
    <t xml:space="preserve">Operating expenses</t>
  </si>
  <si>
    <t xml:space="preserve">Net operating income (NOI)</t>
  </si>
  <si>
    <t xml:space="preserve">Construction loan</t>
  </si>
  <si>
    <t xml:space="preserve">Opening balance</t>
  </si>
  <si>
    <t xml:space="preserve">Interest (added to loan)</t>
  </si>
  <si>
    <t xml:space="preserve">Net draw / (repayment)</t>
  </si>
  <si>
    <t xml:space="preserve">Closing balance</t>
  </si>
  <si>
    <t xml:space="preserve">Excess cash released to equity</t>
  </si>
  <si>
    <t xml:space="preserve">Forward NOI (quarter 18 NOI x 4, grown one year)</t>
  </si>
  <si>
    <t xml:space="preserve">Gross sale price</t>
  </si>
  <si>
    <t xml:space="preserve">Less: sale costs</t>
  </si>
  <si>
    <t xml:space="preserve">Less: loan repayment</t>
  </si>
  <si>
    <t xml:space="preserve">Net sale proceeds to equity</t>
  </si>
  <si>
    <t xml:space="preserve">Equity cash flow</t>
  </si>
  <si>
    <t xml:space="preserve">Quarterly IRR</t>
  </si>
  <si>
    <t xml:space="preserve">Annualized levered IRR</t>
  </si>
  <si>
    <t xml:space="preserve">Returns and Development Spread</t>
  </si>
  <si>
    <t xml:space="preserve">AA Deal Desk | Value created versus cost. Stabilized figures use today's rents; sale figures use quarter 18.</t>
  </si>
  <si>
    <t xml:space="preserve">Stabilized economics (today's dollars)</t>
  </si>
  <si>
    <t xml:space="preserve">Sale and levered returns (from Timeline)</t>
  </si>
  <si>
    <t xml:space="preserve">Stabilized EGI</t>
  </si>
  <si>
    <t xml:space="preserve">Stabilized NOI</t>
  </si>
  <si>
    <t xml:space="preserve">Equity invested</t>
  </si>
  <si>
    <t xml:space="preserve">Yield on cost</t>
  </si>
  <si>
    <t xml:space="preserve">Development spread (basis points)</t>
  </si>
  <si>
    <t xml:space="preserve">Stabilized value at today's rents (NOI / exit cap)</t>
  </si>
  <si>
    <t xml:space="preserve">Value created after sale costs</t>
  </si>
  <si>
    <t xml:space="preserve">Loan commitment</t>
  </si>
  <si>
    <t xml:space="preserve">Total cost per unit</t>
  </si>
  <si>
    <t xml:space="preserve">Trended yield on cost (sale NOI / cost)</t>
  </si>
  <si>
    <t xml:space="preserve">Total cost per gross sq ft</t>
  </si>
  <si>
    <t xml:space="preserve">Trended spread to exit cap (bps)</t>
  </si>
  <si>
    <t xml:space="preserve">Profit on cost: exit cap rate (down) against rent change (across)</t>
  </si>
  <si>
    <t xml:space="preserve">Uses stabilized NOI at today's rents. Values in blue can be changed.</t>
  </si>
  <si>
    <t xml:space="preserve">Exit cap \ rent change</t>
  </si>
  <si>
    <t xml:space="preserve">Model Checks</t>
  </si>
  <si>
    <t xml:space="preserve">AA Deal Desk | Every check should show OK. A failed check means a number on another sheet does not tie.</t>
  </si>
  <si>
    <t xml:space="preserve">Check</t>
  </si>
  <si>
    <t xml:space="preserve">Difference</t>
  </si>
  <si>
    <t xml:space="preserve">Status</t>
  </si>
  <si>
    <t xml:space="preserve">Hard cost schedule adds to 100%</t>
  </si>
  <si>
    <t xml:space="preserve">Marketing schedule adds to 100%</t>
  </si>
  <si>
    <t xml:space="preserve">Timeline costs tie to Budget costs before interest</t>
  </si>
  <si>
    <t xml:space="preserve">Equity equals target % of costs before interest</t>
  </si>
  <si>
    <t xml:space="preserve">Equity plus loan-funded costs equals costs before interest</t>
  </si>
  <si>
    <t xml:space="preserve">Loan never exceeds commitment</t>
  </si>
  <si>
    <t xml:space="preserve">Loan fully repaid at sale</t>
  </si>
  <si>
    <t xml:space="preserve">Sources equal uses</t>
  </si>
  <si>
    <t xml:space="preserve">Overall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</si>
</sst>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%"/>
    <numFmt numFmtId="166" formatCode="\$#,##0;&quot;($&quot;#,##0\);\-"/>
    <numFmt numFmtId="167" formatCode="0"/>
    <numFmt numFmtId="168" formatCode="0.0%;\(0.0%\);\-"/>
    <numFmt numFmtId="169" formatCode="0.00\x"/>
    <numFmt numFmtId="170" formatCode="#,##0;\(#,##0\)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A2E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CE3EE"/>
        <bgColor rgb="FFF4F1E8"/>
      </patternFill>
    </fill>
    <fill>
      <patternFill patternType="solid">
        <fgColor rgb="FFFFF4C2"/>
        <bgColor rgb="FFF4F1E8"/>
      </patternFill>
    </fill>
    <fill>
      <patternFill patternType="solid">
        <fgColor rgb="FF0B1A2E"/>
        <bgColor rgb="FF000000"/>
      </patternFill>
    </fill>
    <fill>
      <patternFill patternType="solid">
        <fgColor rgb="FFF4F1E8"/>
        <bgColor rgb="FFFFF4C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0B1A2E"/>
      </top>
      <bottom/>
      <diagonal/>
    </border>
    <border diagonalUp="false" diagonalDown="false">
      <left style="thin">
        <color rgb="FFB8B8B8"/>
      </left>
      <right style="thin">
        <color rgb="FFB8B8B8"/>
      </right>
      <top style="thin">
        <color rgb="FFB8B8B8"/>
      </top>
      <bottom style="thin">
        <color rgb="FFB8B8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8B8"/>
      <rgbColor rgb="FF808080"/>
      <rgbColor rgb="FF9999FF"/>
      <rgbColor rgb="FF993366"/>
      <rgbColor rgb="FFFFF4C2"/>
      <rgbColor rgb="FFF4F1E8"/>
      <rgbColor rgb="FF660066"/>
      <rgbColor rgb="FFFF8080"/>
      <rgbColor rgb="FF0066CC"/>
      <rgbColor rgb="FFDC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B1A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32"/>
    <col collapsed="false" customWidth="true" hidden="false" outlineLevel="0" max="3" min="3" style="0" width="4"/>
    <col collapsed="false" customWidth="true" hidden="false" outlineLevel="0" max="4" min="4" style="0" width="40"/>
    <col collapsed="false" customWidth="true" hidden="false" outlineLevel="0" max="5" min="5" style="0" width="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3" t="s">
        <v>3</v>
      </c>
      <c r="E4" s="4"/>
    </row>
    <row r="5" customFormat="false" ht="15" hidden="false" customHeight="false" outlineLevel="0" collapsed="false">
      <c r="A5" s="5" t="s">
        <v>4</v>
      </c>
      <c r="B5" s="6" t="s">
        <v>5</v>
      </c>
      <c r="D5" s="5" t="s">
        <v>6</v>
      </c>
      <c r="E5" s="7" t="n">
        <f aca="false">Returns!B9</f>
        <v>0.0575</v>
      </c>
    </row>
    <row r="6" customFormat="false" ht="15" hidden="false" customHeight="false" outlineLevel="0" collapsed="false">
      <c r="A6" s="5" t="s">
        <v>7</v>
      </c>
      <c r="B6" s="8" t="n">
        <f aca="false">Returns!B7</f>
        <v>37122873.8572089</v>
      </c>
      <c r="D6" s="5" t="s">
        <v>8</v>
      </c>
      <c r="E6" s="9" t="n">
        <f aca="false">Returns!B10</f>
        <v>31.4475311527691</v>
      </c>
    </row>
    <row r="7" customFormat="false" ht="15" hidden="false" customHeight="false" outlineLevel="0" collapsed="false">
      <c r="A7" s="5" t="s">
        <v>9</v>
      </c>
      <c r="B7" s="8" t="n">
        <f aca="false">Returns!B14</f>
        <v>309357.282143407</v>
      </c>
      <c r="D7" s="5" t="s">
        <v>10</v>
      </c>
      <c r="E7" s="8" t="n">
        <f aca="false">Returns!B11</f>
        <v>39153174.2608696</v>
      </c>
    </row>
    <row r="8" customFormat="false" ht="15" hidden="false" customHeight="false" outlineLevel="0" collapsed="false">
      <c r="A8" s="5" t="s">
        <v>11</v>
      </c>
      <c r="B8" s="8" t="n">
        <f aca="false">Assumptions!$B$8</f>
        <v>3150000</v>
      </c>
      <c r="D8" s="5" t="s">
        <v>12</v>
      </c>
      <c r="E8" s="10" t="n">
        <f aca="false">Returns!B13</f>
        <v>0.0335975313560238</v>
      </c>
    </row>
    <row r="9" customFormat="false" ht="15" hidden="false" customHeight="false" outlineLevel="0" collapsed="false">
      <c r="A9" s="5" t="s">
        <v>13</v>
      </c>
      <c r="B9" s="8" t="n">
        <f aca="false">Budget!$B$9</f>
        <v>24003000</v>
      </c>
      <c r="D9" s="5" t="s">
        <v>14</v>
      </c>
      <c r="E9" s="8" t="n">
        <f aca="false">Returns!I5</f>
        <v>46065067.6408785</v>
      </c>
    </row>
    <row r="10" customFormat="false" ht="15" hidden="false" customHeight="false" outlineLevel="0" collapsed="false">
      <c r="A10" s="5" t="s">
        <v>15</v>
      </c>
      <c r="B10" s="8" t="n">
        <f aca="false">Budget!$B$14</f>
        <v>3688180</v>
      </c>
      <c r="D10" s="5" t="s">
        <v>16</v>
      </c>
      <c r="E10" s="11" t="n">
        <f aca="false">Returns!I9</f>
        <v>0.199939337988947</v>
      </c>
    </row>
    <row r="11" customFormat="false" ht="15" hidden="false" customHeight="false" outlineLevel="0" collapsed="false">
      <c r="A11" s="5" t="s">
        <v>17</v>
      </c>
      <c r="B11" s="8" t="n">
        <f aca="false">Assumptions!$B$17</f>
        <v>24000000</v>
      </c>
      <c r="D11" s="5" t="s">
        <v>18</v>
      </c>
      <c r="E11" s="12" t="n">
        <f aca="false">Returns!I10</f>
        <v>2.15211936408989</v>
      </c>
    </row>
    <row r="12" customFormat="false" ht="15" hidden="false" customHeight="false" outlineLevel="0" collapsed="false">
      <c r="A12" s="5" t="s">
        <v>19</v>
      </c>
      <c r="B12" s="8" t="n">
        <f aca="false">Budget!B28</f>
        <v>11202245.39</v>
      </c>
      <c r="D12" s="5" t="s">
        <v>20</v>
      </c>
      <c r="E12" s="8" t="n">
        <f aca="false">Returns!I8</f>
        <v>12906323.8351057</v>
      </c>
    </row>
    <row r="13" customFormat="false" ht="15" hidden="false" customHeight="false" outlineLevel="0" collapsed="false">
      <c r="A13" s="5" t="s">
        <v>21</v>
      </c>
      <c r="B13" s="8" t="n">
        <f aca="false">Returns!B6</f>
        <v>2251307.52</v>
      </c>
      <c r="D13" s="5" t="s">
        <v>22</v>
      </c>
      <c r="E13" s="8" t="n">
        <f aca="false">Returns!I11</f>
        <v>22409530.80519</v>
      </c>
    </row>
    <row r="14" customFormat="false" ht="15" hidden="false" customHeight="false" outlineLevel="0" collapsed="false">
      <c r="A14" s="5" t="s">
        <v>23</v>
      </c>
      <c r="B14" s="13" t="n">
        <f aca="false">Returns!B8</f>
        <v>0.0606447531152769</v>
      </c>
      <c r="D14" s="5" t="s">
        <v>24</v>
      </c>
      <c r="E14" s="14" t="n">
        <f aca="false">Returns!I13</f>
        <v>0.60365829680609</v>
      </c>
    </row>
    <row r="15" customFormat="false" ht="15" hidden="false" customHeight="false" outlineLevel="0" collapsed="false">
      <c r="D15" s="5" t="s">
        <v>25</v>
      </c>
      <c r="E15" s="7" t="n">
        <f aca="false">Returns!I14</f>
        <v>0.0713506556507116</v>
      </c>
    </row>
    <row r="16" customFormat="false" ht="15" hidden="false" customHeight="false" outlineLevel="0" collapsed="false">
      <c r="D16" s="5" t="s">
        <v>26</v>
      </c>
      <c r="E16" s="9" t="n">
        <f aca="false">Returns!I15</f>
        <v>138.506556507116</v>
      </c>
    </row>
    <row r="18" customFormat="false" ht="15" hidden="false" customHeight="false" outlineLevel="0" collapsed="false">
      <c r="A18" s="3" t="s">
        <v>27</v>
      </c>
      <c r="B18" s="4"/>
      <c r="C18" s="4"/>
      <c r="D18" s="4"/>
      <c r="E18" s="4"/>
    </row>
    <row r="19" customFormat="false" ht="15" hidden="false" customHeight="false" outlineLevel="0" collapsed="false">
      <c r="A19" s="5" t="s">
        <v>28</v>
      </c>
    </row>
    <row r="20" customFormat="false" ht="15" hidden="false" customHeight="false" outlineLevel="0" collapsed="false">
      <c r="A20" s="5" t="s">
        <v>29</v>
      </c>
    </row>
    <row r="21" customFormat="false" ht="15" hidden="false" customHeight="false" outlineLevel="0" collapsed="false">
      <c r="A21" s="5" t="s">
        <v>30</v>
      </c>
    </row>
    <row r="22" customFormat="false" ht="15" hidden="false" customHeight="false" outlineLevel="0" collapsed="false">
      <c r="A22" s="5" t="s">
        <v>31</v>
      </c>
    </row>
    <row r="23" customFormat="false" ht="15" hidden="false" customHeight="false" outlineLevel="0" collapsed="false">
      <c r="A23" s="2" t="s">
        <v>32</v>
      </c>
    </row>
    <row r="25" customFormat="false" ht="15" hidden="false" customHeight="false" outlineLevel="0" collapsed="false">
      <c r="A25" s="15" t="s">
        <v>33</v>
      </c>
      <c r="B25" s="16" t="str">
        <f aca="false">Checks!B14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project.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9.7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4" customFormat="false" ht="15" hidden="false" customHeight="false" outlineLevel="0" collapsed="false">
      <c r="A4" s="3" t="s">
        <v>36</v>
      </c>
      <c r="B4" s="4"/>
      <c r="C4" s="4"/>
    </row>
    <row r="5" customFormat="false" ht="15" hidden="false" customHeight="false" outlineLevel="0" collapsed="false">
      <c r="A5" s="5" t="s">
        <v>37</v>
      </c>
      <c r="B5" s="17" t="n">
        <v>120</v>
      </c>
      <c r="C5" s="2" t="s">
        <v>38</v>
      </c>
    </row>
    <row r="6" customFormat="false" ht="15" hidden="false" customHeight="false" outlineLevel="0" collapsed="false">
      <c r="A6" s="5" t="s">
        <v>39</v>
      </c>
      <c r="B6" s="18" t="n">
        <v>950</v>
      </c>
      <c r="C6" s="2" t="s">
        <v>40</v>
      </c>
    </row>
    <row r="7" customFormat="false" ht="15" hidden="false" customHeight="false" outlineLevel="0" collapsed="false">
      <c r="A7" s="5" t="s">
        <v>41</v>
      </c>
      <c r="B7" s="18" t="n">
        <v>132000</v>
      </c>
      <c r="C7" s="2" t="s">
        <v>42</v>
      </c>
    </row>
    <row r="8" customFormat="false" ht="15" hidden="false" customHeight="false" outlineLevel="0" collapsed="false">
      <c r="A8" s="5" t="s">
        <v>43</v>
      </c>
      <c r="B8" s="19" t="n">
        <v>3150000</v>
      </c>
      <c r="C8" s="2" t="s">
        <v>44</v>
      </c>
    </row>
    <row r="9" customFormat="false" ht="15" hidden="false" customHeight="false" outlineLevel="0" collapsed="false">
      <c r="A9" s="5" t="s">
        <v>45</v>
      </c>
      <c r="B9" s="19" t="n">
        <v>2400000</v>
      </c>
      <c r="C9" s="2" t="s">
        <v>46</v>
      </c>
    </row>
    <row r="10" customFormat="false" ht="15" hidden="false" customHeight="false" outlineLevel="0" collapsed="false">
      <c r="A10" s="5" t="s">
        <v>47</v>
      </c>
      <c r="B10" s="19" t="n">
        <v>155</v>
      </c>
      <c r="C10" s="2" t="s">
        <v>48</v>
      </c>
    </row>
    <row r="11" customFormat="false" ht="15" hidden="false" customHeight="false" outlineLevel="0" collapsed="false">
      <c r="A11" s="5" t="s">
        <v>49</v>
      </c>
      <c r="B11" s="20" t="n">
        <v>0.05</v>
      </c>
      <c r="C11" s="2"/>
    </row>
    <row r="12" customFormat="false" ht="15" hidden="false" customHeight="false" outlineLevel="0" collapsed="false">
      <c r="A12" s="5" t="s">
        <v>50</v>
      </c>
      <c r="B12" s="20" t="n">
        <v>0.04</v>
      </c>
      <c r="C12" s="2"/>
    </row>
    <row r="13" customFormat="false" ht="15" hidden="false" customHeight="false" outlineLevel="0" collapsed="false">
      <c r="A13" s="5" t="s">
        <v>51</v>
      </c>
      <c r="B13" s="19" t="n">
        <v>15400</v>
      </c>
      <c r="C13" s="2"/>
    </row>
    <row r="14" customFormat="false" ht="15" hidden="false" customHeight="false" outlineLevel="0" collapsed="false">
      <c r="A14" s="5" t="s">
        <v>52</v>
      </c>
      <c r="B14" s="20" t="n">
        <v>0.02</v>
      </c>
      <c r="C14" s="2"/>
    </row>
    <row r="15" customFormat="false" ht="15" hidden="false" customHeight="false" outlineLevel="0" collapsed="false">
      <c r="A15" s="5" t="s">
        <v>53</v>
      </c>
      <c r="B15" s="19" t="n">
        <v>400000</v>
      </c>
      <c r="C15" s="2" t="s">
        <v>54</v>
      </c>
    </row>
    <row r="16" customFormat="false" ht="15" hidden="false" customHeight="false" outlineLevel="0" collapsed="false">
      <c r="A16" s="5" t="s">
        <v>55</v>
      </c>
      <c r="B16" s="20" t="n">
        <v>0.03</v>
      </c>
      <c r="C16" s="2"/>
    </row>
    <row r="17" customFormat="false" ht="15" hidden="false" customHeight="false" outlineLevel="0" collapsed="false">
      <c r="A17" s="5" t="s">
        <v>56</v>
      </c>
      <c r="B17" s="19" t="n">
        <v>24000000</v>
      </c>
      <c r="C17" s="2" t="s">
        <v>57</v>
      </c>
    </row>
    <row r="18" customFormat="false" ht="15" hidden="false" customHeight="false" outlineLevel="0" collapsed="false">
      <c r="A18" s="5" t="s">
        <v>58</v>
      </c>
      <c r="B18" s="21" t="n">
        <v>0.075</v>
      </c>
      <c r="C18" s="2" t="s">
        <v>59</v>
      </c>
    </row>
    <row r="19" customFormat="false" ht="15" hidden="false" customHeight="false" outlineLevel="0" collapsed="false">
      <c r="A19" s="5" t="s">
        <v>60</v>
      </c>
      <c r="B19" s="20" t="n">
        <v>0.01</v>
      </c>
      <c r="C19" s="2" t="s">
        <v>61</v>
      </c>
    </row>
    <row r="20" customFormat="false" ht="15" hidden="false" customHeight="false" outlineLevel="0" collapsed="false">
      <c r="A20" s="5" t="s">
        <v>62</v>
      </c>
      <c r="B20" s="20" t="n">
        <v>0.35</v>
      </c>
      <c r="C20" s="2" t="s">
        <v>63</v>
      </c>
    </row>
    <row r="22" customFormat="false" ht="15" hidden="false" customHeight="false" outlineLevel="0" collapsed="false">
      <c r="A22" s="3" t="s">
        <v>64</v>
      </c>
      <c r="B22" s="4"/>
      <c r="C22" s="4"/>
    </row>
    <row r="23" customFormat="false" ht="15" hidden="false" customHeight="false" outlineLevel="0" collapsed="false">
      <c r="A23" s="5" t="s">
        <v>65</v>
      </c>
      <c r="B23" s="19" t="n">
        <v>2400</v>
      </c>
      <c r="C23" s="2" t="s">
        <v>66</v>
      </c>
    </row>
    <row r="24" customFormat="false" ht="15" hidden="false" customHeight="false" outlineLevel="0" collapsed="false">
      <c r="A24" s="5" t="s">
        <v>67</v>
      </c>
      <c r="B24" s="19" t="n">
        <v>120</v>
      </c>
      <c r="C24" s="2" t="s">
        <v>68</v>
      </c>
    </row>
    <row r="25" customFormat="false" ht="15" hidden="false" customHeight="false" outlineLevel="0" collapsed="false">
      <c r="A25" s="5" t="s">
        <v>69</v>
      </c>
      <c r="B25" s="20" t="n">
        <v>0.94</v>
      </c>
      <c r="C25" s="2"/>
    </row>
    <row r="26" customFormat="false" ht="15" hidden="false" customHeight="false" outlineLevel="0" collapsed="false">
      <c r="A26" s="5" t="s">
        <v>70</v>
      </c>
      <c r="B26" s="20" t="n">
        <v>0.34</v>
      </c>
      <c r="C26" s="2"/>
    </row>
    <row r="27" customFormat="false" ht="15" hidden="false" customHeight="false" outlineLevel="0" collapsed="false">
      <c r="A27" s="5" t="s">
        <v>71</v>
      </c>
      <c r="B27" s="20" t="n">
        <v>0.55</v>
      </c>
      <c r="C27" s="2" t="s">
        <v>72</v>
      </c>
    </row>
    <row r="28" customFormat="false" ht="15" hidden="false" customHeight="false" outlineLevel="0" collapsed="false">
      <c r="A28" s="5" t="s">
        <v>73</v>
      </c>
      <c r="B28" s="20" t="n">
        <v>0.03</v>
      </c>
      <c r="C28" s="2" t="s">
        <v>74</v>
      </c>
    </row>
    <row r="29" customFormat="false" ht="15" hidden="false" customHeight="false" outlineLevel="0" collapsed="false">
      <c r="A29" s="5" t="s">
        <v>75</v>
      </c>
      <c r="B29" s="17" t="n">
        <v>7</v>
      </c>
      <c r="C29" s="2" t="s">
        <v>76</v>
      </c>
    </row>
    <row r="30" customFormat="false" ht="15" hidden="false" customHeight="false" outlineLevel="0" collapsed="false">
      <c r="A30" s="5" t="s">
        <v>77</v>
      </c>
      <c r="B30" s="20" t="n">
        <v>0.08</v>
      </c>
      <c r="C30" s="2"/>
    </row>
    <row r="31" customFormat="false" ht="15" hidden="false" customHeight="false" outlineLevel="0" collapsed="false">
      <c r="A31" s="5" t="s">
        <v>78</v>
      </c>
      <c r="B31" s="20" t="n">
        <v>0.14</v>
      </c>
      <c r="C31" s="2" t="s">
        <v>79</v>
      </c>
    </row>
    <row r="33" customFormat="false" ht="15" hidden="false" customHeight="false" outlineLevel="0" collapsed="false">
      <c r="A33" s="3" t="s">
        <v>80</v>
      </c>
      <c r="B33" s="4"/>
      <c r="C33" s="4"/>
    </row>
    <row r="34" customFormat="false" ht="15" hidden="false" customHeight="false" outlineLevel="0" collapsed="false">
      <c r="A34" s="5" t="s">
        <v>81</v>
      </c>
      <c r="B34" s="17" t="n">
        <v>18</v>
      </c>
      <c r="C34" s="2" t="s">
        <v>82</v>
      </c>
    </row>
    <row r="35" customFormat="false" ht="15" hidden="false" customHeight="false" outlineLevel="0" collapsed="false">
      <c r="A35" s="5" t="s">
        <v>6</v>
      </c>
      <c r="B35" s="21" t="n">
        <v>0.0575</v>
      </c>
      <c r="C35" s="2" t="s">
        <v>83</v>
      </c>
    </row>
    <row r="36" customFormat="false" ht="15" hidden="false" customHeight="false" outlineLevel="0" collapsed="false">
      <c r="A36" s="5" t="s">
        <v>84</v>
      </c>
      <c r="B36" s="20" t="n">
        <v>0.02</v>
      </c>
      <c r="C36" s="2"/>
    </row>
    <row r="38" customFormat="false" ht="15" hidden="false" customHeight="false" outlineLevel="0" collapsed="false">
      <c r="A38" s="2" t="s">
        <v>85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project.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54"/>
  </cols>
  <sheetData>
    <row r="1" customFormat="false" ht="19.7" hidden="false" customHeight="false" outlineLevel="0" collapsed="false">
      <c r="A1" s="1" t="s">
        <v>86</v>
      </c>
    </row>
    <row r="2" customFormat="false" ht="15" hidden="false" customHeight="false" outlineLevel="0" collapsed="false">
      <c r="A2" s="2" t="s">
        <v>87</v>
      </c>
    </row>
    <row r="4" customFormat="false" ht="15" hidden="false" customHeight="false" outlineLevel="0" collapsed="false">
      <c r="A4" s="22" t="s">
        <v>88</v>
      </c>
      <c r="B4" s="23" t="s">
        <v>89</v>
      </c>
      <c r="C4" s="23" t="s">
        <v>90</v>
      </c>
      <c r="D4" s="23" t="s">
        <v>91</v>
      </c>
      <c r="E4" s="23" t="s">
        <v>92</v>
      </c>
    </row>
    <row r="5" customFormat="false" ht="15" hidden="false" customHeight="false" outlineLevel="0" collapsed="false">
      <c r="A5" s="5" t="s">
        <v>93</v>
      </c>
      <c r="B5" s="8" t="n">
        <f aca="false">Assumptions!$B$8</f>
        <v>3150000</v>
      </c>
      <c r="C5" s="24" t="n">
        <f aca="false">B5/Assumptions!$B$5</f>
        <v>26250</v>
      </c>
      <c r="D5" s="25" t="n">
        <f aca="false">B5/$B$19</f>
        <v>0.0848533443858982</v>
      </c>
      <c r="E5" s="2" t="s">
        <v>34</v>
      </c>
    </row>
    <row r="6" customFormat="false" ht="15" hidden="false" customHeight="false" outlineLevel="0" collapsed="false">
      <c r="A6" s="5" t="s">
        <v>94</v>
      </c>
      <c r="B6" s="8" t="n">
        <f aca="false">Assumptions!$B$9</f>
        <v>2400000</v>
      </c>
      <c r="C6" s="24" t="n">
        <f aca="false">B6/Assumptions!$B$5</f>
        <v>20000</v>
      </c>
      <c r="D6" s="25" t="n">
        <f aca="false">B6/$B$19</f>
        <v>0.0646501671511605</v>
      </c>
      <c r="E6" s="2" t="s">
        <v>34</v>
      </c>
    </row>
    <row r="7" customFormat="false" ht="15" hidden="false" customHeight="false" outlineLevel="0" collapsed="false">
      <c r="A7" s="5" t="s">
        <v>95</v>
      </c>
      <c r="B7" s="24" t="n">
        <f aca="false">Assumptions!$B$7*Assumptions!$B$10</f>
        <v>20460000</v>
      </c>
      <c r="C7" s="24" t="n">
        <f aca="false">B7/Assumptions!$B$5</f>
        <v>170500</v>
      </c>
      <c r="D7" s="25" t="n">
        <f aca="false">B7/$B$19</f>
        <v>0.551142674963643</v>
      </c>
      <c r="E7" s="2" t="s">
        <v>96</v>
      </c>
    </row>
    <row r="8" customFormat="false" ht="15" hidden="false" customHeight="false" outlineLevel="0" collapsed="false">
      <c r="A8" s="5" t="s">
        <v>97</v>
      </c>
      <c r="B8" s="24" t="n">
        <f aca="false">(B6+B7)*Assumptions!$B$11</f>
        <v>1143000</v>
      </c>
      <c r="C8" s="24" t="n">
        <f aca="false">B8/Assumptions!$B$5</f>
        <v>9525</v>
      </c>
      <c r="D8" s="25" t="n">
        <f aca="false">B8/$B$19</f>
        <v>0.0307896421057402</v>
      </c>
      <c r="E8" s="2" t="s">
        <v>98</v>
      </c>
    </row>
    <row r="9" customFormat="false" ht="15" hidden="false" customHeight="false" outlineLevel="0" collapsed="false">
      <c r="A9" s="26" t="s">
        <v>13</v>
      </c>
      <c r="B9" s="27" t="n">
        <f aca="false">B6+B7+B8</f>
        <v>24003000</v>
      </c>
      <c r="C9" s="28" t="n">
        <f aca="false">B9/Assumptions!$B$5</f>
        <v>200025</v>
      </c>
      <c r="D9" s="29" t="n">
        <f aca="false">B9/$B$19</f>
        <v>0.646582484220544</v>
      </c>
      <c r="E9" s="30"/>
    </row>
    <row r="10" customFormat="false" ht="15" hidden="false" customHeight="false" outlineLevel="0" collapsed="false">
      <c r="A10" s="5" t="s">
        <v>99</v>
      </c>
      <c r="B10" s="24" t="n">
        <f aca="false">B9*Assumptions!$B$12</f>
        <v>960120</v>
      </c>
      <c r="C10" s="24" t="n">
        <f aca="false">B10/Assumptions!$B$5</f>
        <v>8001</v>
      </c>
      <c r="D10" s="25" t="n">
        <f aca="false">B10/$B$19</f>
        <v>0.0258632993688218</v>
      </c>
      <c r="E10" s="2" t="s">
        <v>100</v>
      </c>
    </row>
    <row r="11" customFormat="false" ht="15" hidden="false" customHeight="false" outlineLevel="0" collapsed="false">
      <c r="A11" s="5" t="s">
        <v>101</v>
      </c>
      <c r="B11" s="24" t="n">
        <f aca="false">Assumptions!$B$13*Assumptions!$B$5</f>
        <v>1848000</v>
      </c>
      <c r="C11" s="24" t="n">
        <f aca="false">B11/Assumptions!$B$5</f>
        <v>15400</v>
      </c>
      <c r="D11" s="25" t="n">
        <f aca="false">B11/$B$19</f>
        <v>0.0497806287063936</v>
      </c>
      <c r="E11" s="2" t="s">
        <v>102</v>
      </c>
    </row>
    <row r="12" customFormat="false" ht="15" hidden="false" customHeight="false" outlineLevel="0" collapsed="false">
      <c r="A12" s="5" t="s">
        <v>103</v>
      </c>
      <c r="B12" s="24" t="n">
        <f aca="false">B9*Assumptions!$B$14</f>
        <v>480060</v>
      </c>
      <c r="C12" s="24" t="n">
        <f aca="false">B12/Assumptions!$B$5</f>
        <v>4000.5</v>
      </c>
      <c r="D12" s="25" t="n">
        <f aca="false">B12/$B$19</f>
        <v>0.0129316496844109</v>
      </c>
      <c r="E12" s="2" t="s">
        <v>100</v>
      </c>
    </row>
    <row r="13" customFormat="false" ht="15" hidden="false" customHeight="false" outlineLevel="0" collapsed="false">
      <c r="A13" s="5" t="s">
        <v>104</v>
      </c>
      <c r="B13" s="8" t="n">
        <f aca="false">Assumptions!$B$15</f>
        <v>400000</v>
      </c>
      <c r="C13" s="24" t="n">
        <f aca="false">B13/Assumptions!$B$5</f>
        <v>3333.33333333333</v>
      </c>
      <c r="D13" s="25" t="n">
        <f aca="false">B13/$B$19</f>
        <v>0.0107750278585268</v>
      </c>
      <c r="E13" s="2" t="s">
        <v>34</v>
      </c>
    </row>
    <row r="14" customFormat="false" ht="15" hidden="false" customHeight="false" outlineLevel="0" collapsed="false">
      <c r="A14" s="26" t="s">
        <v>15</v>
      </c>
      <c r="B14" s="27" t="n">
        <f aca="false">SUM(B10:B13)</f>
        <v>3688180</v>
      </c>
      <c r="C14" s="28" t="n">
        <f aca="false">B14/Assumptions!$B$5</f>
        <v>30734.8333333333</v>
      </c>
      <c r="D14" s="29" t="n">
        <f aca="false">B14/$B$19</f>
        <v>0.099350605618153</v>
      </c>
      <c r="E14" s="30"/>
    </row>
    <row r="15" customFormat="false" ht="15" hidden="false" customHeight="false" outlineLevel="0" collapsed="false">
      <c r="A15" s="5" t="s">
        <v>105</v>
      </c>
      <c r="B15" s="24" t="n">
        <f aca="false">(B5+B9+B14)*Assumptions!$B$16</f>
        <v>925235.4</v>
      </c>
      <c r="C15" s="24" t="n">
        <f aca="false">B15/Assumptions!$B$5</f>
        <v>7710.295</v>
      </c>
      <c r="D15" s="25" t="n">
        <f aca="false">B15/$B$19</f>
        <v>0.0249235930267379</v>
      </c>
      <c r="E15" s="2" t="s">
        <v>106</v>
      </c>
    </row>
    <row r="16" customFormat="false" ht="15" hidden="false" customHeight="false" outlineLevel="0" collapsed="false">
      <c r="A16" s="5" t="s">
        <v>107</v>
      </c>
      <c r="B16" s="24" t="n">
        <f aca="false">Assumptions!$B$17*Assumptions!$B$19</f>
        <v>240000</v>
      </c>
      <c r="C16" s="24" t="n">
        <f aca="false">B16/Assumptions!$B$5</f>
        <v>2000</v>
      </c>
      <c r="D16" s="25" t="n">
        <f aca="false">B16/$B$19</f>
        <v>0.00646501671511605</v>
      </c>
      <c r="E16" s="2" t="s">
        <v>108</v>
      </c>
    </row>
    <row r="17" customFormat="false" ht="15" hidden="false" customHeight="false" outlineLevel="0" collapsed="false">
      <c r="A17" s="26" t="s">
        <v>109</v>
      </c>
      <c r="B17" s="27" t="n">
        <f aca="false">B5+B9+B14+B15+B16</f>
        <v>32006415.4</v>
      </c>
      <c r="C17" s="28" t="n">
        <f aca="false">B17/Assumptions!$B$5</f>
        <v>266720.128333333</v>
      </c>
      <c r="D17" s="29" t="n">
        <f aca="false">B17/$B$19</f>
        <v>0.862175043966449</v>
      </c>
      <c r="E17" s="30"/>
    </row>
    <row r="18" customFormat="false" ht="15" hidden="false" customHeight="false" outlineLevel="0" collapsed="false">
      <c r="A18" s="5" t="s">
        <v>110</v>
      </c>
      <c r="B18" s="8" t="n">
        <f aca="false">SUM(Timeline!B26:T26)</f>
        <v>5116458.45720887</v>
      </c>
      <c r="C18" s="24" t="n">
        <f aca="false">B18/Assumptions!$B$5</f>
        <v>42637.1538100739</v>
      </c>
      <c r="D18" s="25" t="n">
        <f aca="false">B18/$B$19</f>
        <v>0.137824956033551</v>
      </c>
      <c r="E18" s="2" t="s">
        <v>111</v>
      </c>
    </row>
    <row r="19" customFormat="false" ht="15" hidden="false" customHeight="false" outlineLevel="0" collapsed="false">
      <c r="A19" s="26" t="s">
        <v>7</v>
      </c>
      <c r="B19" s="27" t="n">
        <f aca="false">B17+B18</f>
        <v>37122873.8572089</v>
      </c>
      <c r="C19" s="28" t="n">
        <f aca="false">B19/Assumptions!$B$5</f>
        <v>309357.282143407</v>
      </c>
      <c r="D19" s="29" t="n">
        <f aca="false">B19/$B$19</f>
        <v>1</v>
      </c>
      <c r="E19" s="30"/>
    </row>
    <row r="21" customFormat="false" ht="15" hidden="false" customHeight="false" outlineLevel="0" collapsed="false">
      <c r="A21" s="3" t="s">
        <v>112</v>
      </c>
      <c r="B21" s="4"/>
      <c r="C21" s="4"/>
      <c r="D21" s="4"/>
      <c r="E21" s="4"/>
    </row>
    <row r="22" customFormat="false" ht="15" hidden="false" customHeight="false" outlineLevel="0" collapsed="false">
      <c r="A22" s="22" t="s">
        <v>113</v>
      </c>
      <c r="B22" s="23" t="s">
        <v>89</v>
      </c>
      <c r="C22" s="23"/>
      <c r="D22" s="23"/>
      <c r="E22" s="23"/>
    </row>
    <row r="23" customFormat="false" ht="15" hidden="false" customHeight="false" outlineLevel="0" collapsed="false">
      <c r="A23" s="5" t="s">
        <v>114</v>
      </c>
      <c r="B23" s="24" t="n">
        <f aca="false">B17</f>
        <v>32006415.4</v>
      </c>
    </row>
    <row r="24" customFormat="false" ht="15" hidden="false" customHeight="false" outlineLevel="0" collapsed="false">
      <c r="A24" s="5" t="s">
        <v>110</v>
      </c>
      <c r="B24" s="24" t="n">
        <f aca="false">B18</f>
        <v>5116458.45720887</v>
      </c>
    </row>
    <row r="25" customFormat="false" ht="15" hidden="false" customHeight="false" outlineLevel="0" collapsed="false">
      <c r="A25" s="26" t="s">
        <v>115</v>
      </c>
      <c r="B25" s="27" t="n">
        <f aca="false">B23+B24</f>
        <v>37122873.8572089</v>
      </c>
      <c r="C25" s="31"/>
      <c r="D25" s="31"/>
      <c r="E25" s="31"/>
    </row>
    <row r="27" customFormat="false" ht="15" hidden="false" customHeight="false" outlineLevel="0" collapsed="false">
      <c r="A27" s="22" t="s">
        <v>116</v>
      </c>
      <c r="B27" s="23" t="s">
        <v>89</v>
      </c>
      <c r="C27" s="23" t="s">
        <v>91</v>
      </c>
      <c r="D27" s="23"/>
      <c r="E27" s="23"/>
    </row>
    <row r="28" customFormat="false" ht="15" hidden="false" customHeight="false" outlineLevel="0" collapsed="false">
      <c r="A28" s="5" t="s">
        <v>117</v>
      </c>
      <c r="B28" s="8" t="n">
        <f aca="false">SUM(Timeline!B17:T17)</f>
        <v>11202245.39</v>
      </c>
      <c r="C28" s="25" t="n">
        <f aca="false">B28/$B$31</f>
        <v>0.301761265388257</v>
      </c>
    </row>
    <row r="29" customFormat="false" ht="15" hidden="false" customHeight="false" outlineLevel="0" collapsed="false">
      <c r="A29" s="5" t="s">
        <v>118</v>
      </c>
      <c r="B29" s="8" t="n">
        <f aca="false">SUM(Timeline!B18:T18)</f>
        <v>20804170.01</v>
      </c>
      <c r="C29" s="25" t="n">
        <f aca="false">B29/$B$31</f>
        <v>0.560413778578192</v>
      </c>
    </row>
    <row r="30" customFormat="false" ht="15" hidden="false" customHeight="false" outlineLevel="0" collapsed="false">
      <c r="A30" s="5" t="s">
        <v>119</v>
      </c>
      <c r="B30" s="24" t="n">
        <f aca="false">B24</f>
        <v>5116458.45720887</v>
      </c>
      <c r="C30" s="25" t="n">
        <f aca="false">B30/$B$31</f>
        <v>0.137824956033551</v>
      </c>
    </row>
    <row r="31" customFormat="false" ht="15" hidden="false" customHeight="false" outlineLevel="0" collapsed="false">
      <c r="A31" s="26" t="s">
        <v>120</v>
      </c>
      <c r="B31" s="27" t="n">
        <f aca="false">SUM(B28:B30)</f>
        <v>37122873.8572089</v>
      </c>
      <c r="C31" s="29" t="n">
        <f aca="false">B31/$B$31</f>
        <v>1</v>
      </c>
      <c r="D31" s="31"/>
      <c r="E31" s="31"/>
    </row>
    <row r="33" customFormat="false" ht="15" hidden="false" customHeight="false" outlineLevel="0" collapsed="false">
      <c r="A33" s="2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project.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0" min="2" style="0" width="12.5"/>
  </cols>
  <sheetData>
    <row r="1" customFormat="false" ht="19.7" hidden="false" customHeight="false" outlineLevel="0" collapsed="false">
      <c r="A1" s="1" t="s">
        <v>122</v>
      </c>
    </row>
    <row r="2" customFormat="false" ht="15" hidden="false" customHeight="false" outlineLevel="0" collapsed="false">
      <c r="A2" s="2" t="s">
        <v>123</v>
      </c>
    </row>
    <row r="4" customFormat="false" ht="15" hidden="false" customHeight="false" outlineLevel="0" collapsed="false">
      <c r="A4" s="22" t="s">
        <v>124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23" t="s">
        <v>131</v>
      </c>
      <c r="I4" s="23" t="s">
        <v>132</v>
      </c>
      <c r="J4" s="23" t="s">
        <v>133</v>
      </c>
      <c r="K4" s="23" t="s">
        <v>134</v>
      </c>
      <c r="L4" s="23" t="s">
        <v>135</v>
      </c>
      <c r="M4" s="23" t="s">
        <v>136</v>
      </c>
      <c r="N4" s="23" t="s">
        <v>137</v>
      </c>
      <c r="O4" s="23" t="s">
        <v>138</v>
      </c>
      <c r="P4" s="23" t="s">
        <v>139</v>
      </c>
      <c r="Q4" s="23" t="s">
        <v>140</v>
      </c>
      <c r="R4" s="23" t="s">
        <v>141</v>
      </c>
      <c r="S4" s="23" t="s">
        <v>142</v>
      </c>
      <c r="T4" s="23" t="s">
        <v>143</v>
      </c>
    </row>
    <row r="5" customFormat="false" ht="15" hidden="false" customHeight="false" outlineLevel="0" collapsed="false">
      <c r="A5" s="2" t="s">
        <v>144</v>
      </c>
      <c r="B5" s="32" t="n">
        <v>0</v>
      </c>
      <c r="C5" s="32" t="n">
        <v>1</v>
      </c>
      <c r="D5" s="32" t="n">
        <v>2</v>
      </c>
      <c r="E5" s="32" t="n">
        <v>3</v>
      </c>
      <c r="F5" s="32" t="n">
        <v>4</v>
      </c>
      <c r="G5" s="32" t="n">
        <v>5</v>
      </c>
      <c r="H5" s="32" t="n">
        <v>6</v>
      </c>
      <c r="I5" s="32" t="n">
        <v>7</v>
      </c>
      <c r="J5" s="32" t="n">
        <v>8</v>
      </c>
      <c r="K5" s="32" t="n">
        <v>9</v>
      </c>
      <c r="L5" s="32" t="n">
        <v>10</v>
      </c>
      <c r="M5" s="32" t="n">
        <v>11</v>
      </c>
      <c r="N5" s="32" t="n">
        <v>12</v>
      </c>
      <c r="O5" s="32" t="n">
        <v>13</v>
      </c>
      <c r="P5" s="32" t="n">
        <v>14</v>
      </c>
      <c r="Q5" s="32" t="n">
        <v>15</v>
      </c>
      <c r="R5" s="32" t="n">
        <v>16</v>
      </c>
      <c r="S5" s="32" t="n">
        <v>17</v>
      </c>
      <c r="T5" s="32" t="n">
        <v>18</v>
      </c>
    </row>
    <row r="6" customFormat="false" ht="15" hidden="false" customHeight="false" outlineLevel="0" collapsed="false">
      <c r="A6" s="15" t="s">
        <v>145</v>
      </c>
      <c r="B6" s="20" t="n">
        <v>0</v>
      </c>
      <c r="C6" s="20" t="n">
        <v>0.06</v>
      </c>
      <c r="D6" s="20" t="n">
        <v>0.1</v>
      </c>
      <c r="E6" s="20" t="n">
        <v>0.14</v>
      </c>
      <c r="F6" s="20" t="n">
        <v>0.17</v>
      </c>
      <c r="G6" s="20" t="n">
        <v>0.17</v>
      </c>
      <c r="H6" s="20" t="n">
        <v>0.15</v>
      </c>
      <c r="I6" s="20" t="n">
        <v>0.12</v>
      </c>
      <c r="J6" s="20" t="n">
        <v>0.09</v>
      </c>
      <c r="K6" s="20" t="n">
        <v>0</v>
      </c>
      <c r="L6" s="20" t="n">
        <v>0</v>
      </c>
      <c r="M6" s="20" t="n">
        <v>0</v>
      </c>
      <c r="N6" s="20" t="n">
        <v>0</v>
      </c>
      <c r="O6" s="20" t="n">
        <v>0</v>
      </c>
      <c r="P6" s="20" t="n">
        <v>0</v>
      </c>
      <c r="Q6" s="20" t="n">
        <v>0</v>
      </c>
      <c r="R6" s="20" t="n">
        <v>0</v>
      </c>
      <c r="S6" s="20" t="n">
        <v>0</v>
      </c>
      <c r="T6" s="20" t="n">
        <v>0</v>
      </c>
    </row>
    <row r="7" customFormat="false" ht="15" hidden="false" customHeight="false" outlineLevel="0" collapsed="false">
      <c r="A7" s="15" t="s">
        <v>146</v>
      </c>
      <c r="B7" s="20" t="n">
        <v>0</v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0.25</v>
      </c>
      <c r="H7" s="20" t="n">
        <v>0.25</v>
      </c>
      <c r="I7" s="20" t="n">
        <v>0.25</v>
      </c>
      <c r="J7" s="20" t="n">
        <v>0.25</v>
      </c>
      <c r="K7" s="20" t="n">
        <v>0</v>
      </c>
      <c r="L7" s="20" t="n">
        <v>0</v>
      </c>
      <c r="M7" s="20" t="n">
        <v>0</v>
      </c>
      <c r="N7" s="20" t="n">
        <v>0</v>
      </c>
      <c r="O7" s="20" t="n">
        <v>0</v>
      </c>
      <c r="P7" s="20" t="n">
        <v>0</v>
      </c>
      <c r="Q7" s="20" t="n">
        <v>0</v>
      </c>
      <c r="R7" s="20" t="n">
        <v>0</v>
      </c>
      <c r="S7" s="20" t="n">
        <v>0</v>
      </c>
      <c r="T7" s="20" t="n">
        <v>0</v>
      </c>
    </row>
    <row r="8" customFormat="false" ht="15" hidden="false" customHeight="false" outlineLevel="0" collapsed="false">
      <c r="A8" s="2" t="s">
        <v>147</v>
      </c>
    </row>
    <row r="9" customFormat="false" ht="15" hidden="false" customHeight="false" outlineLevel="0" collapsed="false">
      <c r="A9" s="3" t="s">
        <v>114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customFormat="false" ht="15" hidden="false" customHeight="false" outlineLevel="0" collapsed="false">
      <c r="A10" s="5" t="s">
        <v>11</v>
      </c>
      <c r="B10" s="24" t="n">
        <f aca="false">IF(B$5=0,Budget!$B$5,0)</f>
        <v>3150000</v>
      </c>
      <c r="C10" s="24" t="n">
        <f aca="false">IF(C$5=0,Budget!$B$5,0)</f>
        <v>0</v>
      </c>
      <c r="D10" s="24" t="n">
        <f aca="false">IF(D$5=0,Budget!$B$5,0)</f>
        <v>0</v>
      </c>
      <c r="E10" s="24" t="n">
        <f aca="false">IF(E$5=0,Budget!$B$5,0)</f>
        <v>0</v>
      </c>
      <c r="F10" s="24" t="n">
        <f aca="false">IF(F$5=0,Budget!$B$5,0)</f>
        <v>0</v>
      </c>
      <c r="G10" s="24" t="n">
        <f aca="false">IF(G$5=0,Budget!$B$5,0)</f>
        <v>0</v>
      </c>
      <c r="H10" s="24" t="n">
        <f aca="false">IF(H$5=0,Budget!$B$5,0)</f>
        <v>0</v>
      </c>
      <c r="I10" s="24" t="n">
        <f aca="false">IF(I$5=0,Budget!$B$5,0)</f>
        <v>0</v>
      </c>
      <c r="J10" s="24" t="n">
        <f aca="false">IF(J$5=0,Budget!$B$5,0)</f>
        <v>0</v>
      </c>
      <c r="K10" s="24" t="n">
        <f aca="false">IF(K$5=0,Budget!$B$5,0)</f>
        <v>0</v>
      </c>
      <c r="L10" s="24" t="n">
        <f aca="false">IF(L$5=0,Budget!$B$5,0)</f>
        <v>0</v>
      </c>
      <c r="M10" s="24" t="n">
        <f aca="false">IF(M$5=0,Budget!$B$5,0)</f>
        <v>0</v>
      </c>
      <c r="N10" s="24" t="n">
        <f aca="false">IF(N$5=0,Budget!$B$5,0)</f>
        <v>0</v>
      </c>
      <c r="O10" s="24" t="n">
        <f aca="false">IF(O$5=0,Budget!$B$5,0)</f>
        <v>0</v>
      </c>
      <c r="P10" s="24" t="n">
        <f aca="false">IF(P$5=0,Budget!$B$5,0)</f>
        <v>0</v>
      </c>
      <c r="Q10" s="24" t="n">
        <f aca="false">IF(Q$5=0,Budget!$B$5,0)</f>
        <v>0</v>
      </c>
      <c r="R10" s="24" t="n">
        <f aca="false">IF(R$5=0,Budget!$B$5,0)</f>
        <v>0</v>
      </c>
      <c r="S10" s="24" t="n">
        <f aca="false">IF(S$5=0,Budget!$B$5,0)</f>
        <v>0</v>
      </c>
      <c r="T10" s="24" t="n">
        <f aca="false">IF(T$5=0,Budget!$B$5,0)</f>
        <v>0</v>
      </c>
    </row>
    <row r="11" customFormat="false" ht="15" hidden="false" customHeight="false" outlineLevel="0" collapsed="false">
      <c r="A11" s="5" t="s">
        <v>148</v>
      </c>
      <c r="B11" s="24" t="n">
        <f aca="false">Budget!$B$9*B6</f>
        <v>0</v>
      </c>
      <c r="C11" s="24" t="n">
        <f aca="false">Budget!$B$9*C6</f>
        <v>1440180</v>
      </c>
      <c r="D11" s="24" t="n">
        <f aca="false">Budget!$B$9*D6</f>
        <v>2400300</v>
      </c>
      <c r="E11" s="24" t="n">
        <f aca="false">Budget!$B$9*E6</f>
        <v>3360420</v>
      </c>
      <c r="F11" s="24" t="n">
        <f aca="false">Budget!$B$9*F6</f>
        <v>4080510</v>
      </c>
      <c r="G11" s="24" t="n">
        <f aca="false">Budget!$B$9*G6</f>
        <v>4080510</v>
      </c>
      <c r="H11" s="24" t="n">
        <f aca="false">Budget!$B$9*H6</f>
        <v>3600450</v>
      </c>
      <c r="I11" s="24" t="n">
        <f aca="false">Budget!$B$9*I6</f>
        <v>2880360</v>
      </c>
      <c r="J11" s="24" t="n">
        <f aca="false">Budget!$B$9*J6</f>
        <v>2160270</v>
      </c>
      <c r="K11" s="24" t="n">
        <f aca="false">Budget!$B$9*K6</f>
        <v>0</v>
      </c>
      <c r="L11" s="24" t="n">
        <f aca="false">Budget!$B$9*L6</f>
        <v>0</v>
      </c>
      <c r="M11" s="24" t="n">
        <f aca="false">Budget!$B$9*M6</f>
        <v>0</v>
      </c>
      <c r="N11" s="24" t="n">
        <f aca="false">Budget!$B$9*N6</f>
        <v>0</v>
      </c>
      <c r="O11" s="24" t="n">
        <f aca="false">Budget!$B$9*O6</f>
        <v>0</v>
      </c>
      <c r="P11" s="24" t="n">
        <f aca="false">Budget!$B$9*P6</f>
        <v>0</v>
      </c>
      <c r="Q11" s="24" t="n">
        <f aca="false">Budget!$B$9*Q6</f>
        <v>0</v>
      </c>
      <c r="R11" s="24" t="n">
        <f aca="false">Budget!$B$9*R6</f>
        <v>0</v>
      </c>
      <c r="S11" s="24" t="n">
        <f aca="false">Budget!$B$9*S6</f>
        <v>0</v>
      </c>
      <c r="T11" s="24" t="n">
        <f aca="false">Budget!$B$9*T6</f>
        <v>0</v>
      </c>
    </row>
    <row r="12" customFormat="false" ht="15" hidden="false" customHeight="false" outlineLevel="0" collapsed="false">
      <c r="A12" s="5" t="s">
        <v>149</v>
      </c>
      <c r="B12" s="24" t="n">
        <f aca="false">(Budget!$B$10+Budget!$B$11+Budget!$B$12)*(IF(B$5=0,0.4,0)+0.6*B6)</f>
        <v>1315272</v>
      </c>
      <c r="C12" s="24" t="n">
        <f aca="false">(Budget!$B$10+Budget!$B$11+Budget!$B$12)*(IF(C$5=0,0.4,0)+0.6*C6)</f>
        <v>118374.48</v>
      </c>
      <c r="D12" s="24" t="n">
        <f aca="false">(Budget!$B$10+Budget!$B$11+Budget!$B$12)*(IF(D$5=0,0.4,0)+0.6*D6)</f>
        <v>197290.8</v>
      </c>
      <c r="E12" s="24" t="n">
        <f aca="false">(Budget!$B$10+Budget!$B$11+Budget!$B$12)*(IF(E$5=0,0.4,0)+0.6*E6)</f>
        <v>276207.12</v>
      </c>
      <c r="F12" s="24" t="n">
        <f aca="false">(Budget!$B$10+Budget!$B$11+Budget!$B$12)*(IF(F$5=0,0.4,0)+0.6*F6)</f>
        <v>335394.36</v>
      </c>
      <c r="G12" s="24" t="n">
        <f aca="false">(Budget!$B$10+Budget!$B$11+Budget!$B$12)*(IF(G$5=0,0.4,0)+0.6*G6)</f>
        <v>335394.36</v>
      </c>
      <c r="H12" s="24" t="n">
        <f aca="false">(Budget!$B$10+Budget!$B$11+Budget!$B$12)*(IF(H$5=0,0.4,0)+0.6*H6)</f>
        <v>295936.2</v>
      </c>
      <c r="I12" s="24" t="n">
        <f aca="false">(Budget!$B$10+Budget!$B$11+Budget!$B$12)*(IF(I$5=0,0.4,0)+0.6*I6)</f>
        <v>236748.96</v>
      </c>
      <c r="J12" s="24" t="n">
        <f aca="false">(Budget!$B$10+Budget!$B$11+Budget!$B$12)*(IF(J$5=0,0.4,0)+0.6*J6)</f>
        <v>177561.72</v>
      </c>
      <c r="K12" s="24" t="n">
        <f aca="false">(Budget!$B$10+Budget!$B$11+Budget!$B$12)*(IF(K$5=0,0.4,0)+0.6*K6)</f>
        <v>0</v>
      </c>
      <c r="L12" s="24" t="n">
        <f aca="false">(Budget!$B$10+Budget!$B$11+Budget!$B$12)*(IF(L$5=0,0.4,0)+0.6*L6)</f>
        <v>0</v>
      </c>
      <c r="M12" s="24" t="n">
        <f aca="false">(Budget!$B$10+Budget!$B$11+Budget!$B$12)*(IF(M$5=0,0.4,0)+0.6*M6)</f>
        <v>0</v>
      </c>
      <c r="N12" s="24" t="n">
        <f aca="false">(Budget!$B$10+Budget!$B$11+Budget!$B$12)*(IF(N$5=0,0.4,0)+0.6*N6)</f>
        <v>0</v>
      </c>
      <c r="O12" s="24" t="n">
        <f aca="false">(Budget!$B$10+Budget!$B$11+Budget!$B$12)*(IF(O$5=0,0.4,0)+0.6*O6)</f>
        <v>0</v>
      </c>
      <c r="P12" s="24" t="n">
        <f aca="false">(Budget!$B$10+Budget!$B$11+Budget!$B$12)*(IF(P$5=0,0.4,0)+0.6*P6)</f>
        <v>0</v>
      </c>
      <c r="Q12" s="24" t="n">
        <f aca="false">(Budget!$B$10+Budget!$B$11+Budget!$B$12)*(IF(Q$5=0,0.4,0)+0.6*Q6)</f>
        <v>0</v>
      </c>
      <c r="R12" s="24" t="n">
        <f aca="false">(Budget!$B$10+Budget!$B$11+Budget!$B$12)*(IF(R$5=0,0.4,0)+0.6*R6)</f>
        <v>0</v>
      </c>
      <c r="S12" s="24" t="n">
        <f aca="false">(Budget!$B$10+Budget!$B$11+Budget!$B$12)*(IF(S$5=0,0.4,0)+0.6*S6)</f>
        <v>0</v>
      </c>
      <c r="T12" s="24" t="n">
        <f aca="false">(Budget!$B$10+Budget!$B$11+Budget!$B$12)*(IF(T$5=0,0.4,0)+0.6*T6)</f>
        <v>0</v>
      </c>
    </row>
    <row r="13" customFormat="false" ht="15" hidden="false" customHeight="false" outlineLevel="0" collapsed="false">
      <c r="A13" s="5" t="s">
        <v>150</v>
      </c>
      <c r="B13" s="24" t="n">
        <f aca="false">Budget!$B$13*B7</f>
        <v>0</v>
      </c>
      <c r="C13" s="24" t="n">
        <f aca="false">Budget!$B$13*C7</f>
        <v>0</v>
      </c>
      <c r="D13" s="24" t="n">
        <f aca="false">Budget!$B$13*D7</f>
        <v>0</v>
      </c>
      <c r="E13" s="24" t="n">
        <f aca="false">Budget!$B$13*E7</f>
        <v>0</v>
      </c>
      <c r="F13" s="24" t="n">
        <f aca="false">Budget!$B$13*F7</f>
        <v>0</v>
      </c>
      <c r="G13" s="24" t="n">
        <f aca="false">Budget!$B$13*G7</f>
        <v>100000</v>
      </c>
      <c r="H13" s="24" t="n">
        <f aca="false">Budget!$B$13*H7</f>
        <v>100000</v>
      </c>
      <c r="I13" s="24" t="n">
        <f aca="false">Budget!$B$13*I7</f>
        <v>100000</v>
      </c>
      <c r="J13" s="24" t="n">
        <f aca="false">Budget!$B$13*J7</f>
        <v>100000</v>
      </c>
      <c r="K13" s="24" t="n">
        <f aca="false">Budget!$B$13*K7</f>
        <v>0</v>
      </c>
      <c r="L13" s="24" t="n">
        <f aca="false">Budget!$B$13*L7</f>
        <v>0</v>
      </c>
      <c r="M13" s="24" t="n">
        <f aca="false">Budget!$B$13*M7</f>
        <v>0</v>
      </c>
      <c r="N13" s="24" t="n">
        <f aca="false">Budget!$B$13*N7</f>
        <v>0</v>
      </c>
      <c r="O13" s="24" t="n">
        <f aca="false">Budget!$B$13*O7</f>
        <v>0</v>
      </c>
      <c r="P13" s="24" t="n">
        <f aca="false">Budget!$B$13*P7</f>
        <v>0</v>
      </c>
      <c r="Q13" s="24" t="n">
        <f aca="false">Budget!$B$13*Q7</f>
        <v>0</v>
      </c>
      <c r="R13" s="24" t="n">
        <f aca="false">Budget!$B$13*R7</f>
        <v>0</v>
      </c>
      <c r="S13" s="24" t="n">
        <f aca="false">Budget!$B$13*S7</f>
        <v>0</v>
      </c>
      <c r="T13" s="24" t="n">
        <f aca="false">Budget!$B$13*T7</f>
        <v>0</v>
      </c>
    </row>
    <row r="14" customFormat="false" ht="15" hidden="false" customHeight="false" outlineLevel="0" collapsed="false">
      <c r="A14" s="5" t="s">
        <v>105</v>
      </c>
      <c r="B14" s="24" t="n">
        <f aca="false">Budget!$B$15*B6</f>
        <v>0</v>
      </c>
      <c r="C14" s="24" t="n">
        <f aca="false">Budget!$B$15*C6</f>
        <v>55514.124</v>
      </c>
      <c r="D14" s="24" t="n">
        <f aca="false">Budget!$B$15*D6</f>
        <v>92523.54</v>
      </c>
      <c r="E14" s="24" t="n">
        <f aca="false">Budget!$B$15*E6</f>
        <v>129532.956</v>
      </c>
      <c r="F14" s="24" t="n">
        <f aca="false">Budget!$B$15*F6</f>
        <v>157290.018</v>
      </c>
      <c r="G14" s="24" t="n">
        <f aca="false">Budget!$B$15*G6</f>
        <v>157290.018</v>
      </c>
      <c r="H14" s="24" t="n">
        <f aca="false">Budget!$B$15*H6</f>
        <v>138785.31</v>
      </c>
      <c r="I14" s="24" t="n">
        <f aca="false">Budget!$B$15*I6</f>
        <v>111028.248</v>
      </c>
      <c r="J14" s="24" t="n">
        <f aca="false">Budget!$B$15*J6</f>
        <v>83271.186</v>
      </c>
      <c r="K14" s="24" t="n">
        <f aca="false">Budget!$B$15*K6</f>
        <v>0</v>
      </c>
      <c r="L14" s="24" t="n">
        <f aca="false">Budget!$B$15*L6</f>
        <v>0</v>
      </c>
      <c r="M14" s="24" t="n">
        <f aca="false">Budget!$B$15*M6</f>
        <v>0</v>
      </c>
      <c r="N14" s="24" t="n">
        <f aca="false">Budget!$B$15*N6</f>
        <v>0</v>
      </c>
      <c r="O14" s="24" t="n">
        <f aca="false">Budget!$B$15*O6</f>
        <v>0</v>
      </c>
      <c r="P14" s="24" t="n">
        <f aca="false">Budget!$B$15*P6</f>
        <v>0</v>
      </c>
      <c r="Q14" s="24" t="n">
        <f aca="false">Budget!$B$15*Q6</f>
        <v>0</v>
      </c>
      <c r="R14" s="24" t="n">
        <f aca="false">Budget!$B$15*R6</f>
        <v>0</v>
      </c>
      <c r="S14" s="24" t="n">
        <f aca="false">Budget!$B$15*S6</f>
        <v>0</v>
      </c>
      <c r="T14" s="24" t="n">
        <f aca="false">Budget!$B$15*T6</f>
        <v>0</v>
      </c>
    </row>
    <row r="15" customFormat="false" ht="15" hidden="false" customHeight="false" outlineLevel="0" collapsed="false">
      <c r="A15" s="5" t="s">
        <v>107</v>
      </c>
      <c r="B15" s="24" t="n">
        <f aca="false">IF(B$5=0,Budget!$B$16,0)</f>
        <v>240000</v>
      </c>
      <c r="C15" s="24" t="n">
        <f aca="false">IF(C$5=0,Budget!$B$16,0)</f>
        <v>0</v>
      </c>
      <c r="D15" s="24" t="n">
        <f aca="false">IF(D$5=0,Budget!$B$16,0)</f>
        <v>0</v>
      </c>
      <c r="E15" s="24" t="n">
        <f aca="false">IF(E$5=0,Budget!$B$16,0)</f>
        <v>0</v>
      </c>
      <c r="F15" s="24" t="n">
        <f aca="false">IF(F$5=0,Budget!$B$16,0)</f>
        <v>0</v>
      </c>
      <c r="G15" s="24" t="n">
        <f aca="false">IF(G$5=0,Budget!$B$16,0)</f>
        <v>0</v>
      </c>
      <c r="H15" s="24" t="n">
        <f aca="false">IF(H$5=0,Budget!$B$16,0)</f>
        <v>0</v>
      </c>
      <c r="I15" s="24" t="n">
        <f aca="false">IF(I$5=0,Budget!$B$16,0)</f>
        <v>0</v>
      </c>
      <c r="J15" s="24" t="n">
        <f aca="false">IF(J$5=0,Budget!$B$16,0)</f>
        <v>0</v>
      </c>
      <c r="K15" s="24" t="n">
        <f aca="false">IF(K$5=0,Budget!$B$16,0)</f>
        <v>0</v>
      </c>
      <c r="L15" s="24" t="n">
        <f aca="false">IF(L$5=0,Budget!$B$16,0)</f>
        <v>0</v>
      </c>
      <c r="M15" s="24" t="n">
        <f aca="false">IF(M$5=0,Budget!$B$16,0)</f>
        <v>0</v>
      </c>
      <c r="N15" s="24" t="n">
        <f aca="false">IF(N$5=0,Budget!$B$16,0)</f>
        <v>0</v>
      </c>
      <c r="O15" s="24" t="n">
        <f aca="false">IF(O$5=0,Budget!$B$16,0)</f>
        <v>0</v>
      </c>
      <c r="P15" s="24" t="n">
        <f aca="false">IF(P$5=0,Budget!$B$16,0)</f>
        <v>0</v>
      </c>
      <c r="Q15" s="24" t="n">
        <f aca="false">IF(Q$5=0,Budget!$B$16,0)</f>
        <v>0</v>
      </c>
      <c r="R15" s="24" t="n">
        <f aca="false">IF(R$5=0,Budget!$B$16,0)</f>
        <v>0</v>
      </c>
      <c r="S15" s="24" t="n">
        <f aca="false">IF(S$5=0,Budget!$B$16,0)</f>
        <v>0</v>
      </c>
      <c r="T15" s="24" t="n">
        <f aca="false">IF(T$5=0,Budget!$B$16,0)</f>
        <v>0</v>
      </c>
    </row>
    <row r="16" customFormat="false" ht="15" hidden="false" customHeight="false" outlineLevel="0" collapsed="false">
      <c r="A16" s="26" t="s">
        <v>109</v>
      </c>
      <c r="B16" s="27" t="n">
        <f aca="false">SUM(B10:B15)</f>
        <v>4705272</v>
      </c>
      <c r="C16" s="27" t="n">
        <f aca="false">SUM(C10:C15)</f>
        <v>1614068.604</v>
      </c>
      <c r="D16" s="27" t="n">
        <f aca="false">SUM(D10:D15)</f>
        <v>2690114.34</v>
      </c>
      <c r="E16" s="27" t="n">
        <f aca="false">SUM(E10:E15)</f>
        <v>3766160.076</v>
      </c>
      <c r="F16" s="27" t="n">
        <f aca="false">SUM(F10:F15)</f>
        <v>4573194.378</v>
      </c>
      <c r="G16" s="27" t="n">
        <f aca="false">SUM(G10:G15)</f>
        <v>4673194.378</v>
      </c>
      <c r="H16" s="27" t="n">
        <f aca="false">SUM(H10:H15)</f>
        <v>4135171.51</v>
      </c>
      <c r="I16" s="27" t="n">
        <f aca="false">SUM(I10:I15)</f>
        <v>3328137.208</v>
      </c>
      <c r="J16" s="27" t="n">
        <f aca="false">SUM(J10:J15)</f>
        <v>2521102.906</v>
      </c>
      <c r="K16" s="27" t="n">
        <f aca="false">SUM(K10:K15)</f>
        <v>0</v>
      </c>
      <c r="L16" s="27" t="n">
        <f aca="false">SUM(L10:L15)</f>
        <v>0</v>
      </c>
      <c r="M16" s="27" t="n">
        <f aca="false">SUM(M10:M15)</f>
        <v>0</v>
      </c>
      <c r="N16" s="27" t="n">
        <f aca="false">SUM(N10:N15)</f>
        <v>0</v>
      </c>
      <c r="O16" s="27" t="n">
        <f aca="false">SUM(O10:O15)</f>
        <v>0</v>
      </c>
      <c r="P16" s="27" t="n">
        <f aca="false">SUM(P10:P15)</f>
        <v>0</v>
      </c>
      <c r="Q16" s="27" t="n">
        <f aca="false">SUM(Q10:Q15)</f>
        <v>0</v>
      </c>
      <c r="R16" s="27" t="n">
        <f aca="false">SUM(R10:R15)</f>
        <v>0</v>
      </c>
      <c r="S16" s="27" t="n">
        <f aca="false">SUM(S10:S15)</f>
        <v>0</v>
      </c>
      <c r="T16" s="27" t="n">
        <f aca="false">SUM(T10:T15)</f>
        <v>0</v>
      </c>
    </row>
    <row r="17" customFormat="false" ht="15" hidden="false" customHeight="false" outlineLevel="0" collapsed="false">
      <c r="A17" s="15" t="s">
        <v>151</v>
      </c>
      <c r="B17" s="24" t="n">
        <f aca="false">MIN(B16,MAX(0,Assumptions!$B$20*Budget!$B$17-0))</f>
        <v>4705272</v>
      </c>
      <c r="C17" s="24" t="n">
        <f aca="false">MIN(C16,MAX(0,Assumptions!$B$20*Budget!$B$17-SUM($B17:B17)))</f>
        <v>1614068.604</v>
      </c>
      <c r="D17" s="24" t="n">
        <f aca="false">MIN(D16,MAX(0,Assumptions!$B$20*Budget!$B$17-SUM($B17:C17)))</f>
        <v>2690114.34</v>
      </c>
      <c r="E17" s="24" t="n">
        <f aca="false">MIN(E16,MAX(0,Assumptions!$B$20*Budget!$B$17-SUM($B17:D17)))</f>
        <v>2192790.446</v>
      </c>
      <c r="F17" s="24" t="n">
        <f aca="false">MIN(F16,MAX(0,Assumptions!$B$20*Budget!$B$17-SUM($B17:E17)))</f>
        <v>0</v>
      </c>
      <c r="G17" s="24" t="n">
        <f aca="false">MIN(G16,MAX(0,Assumptions!$B$20*Budget!$B$17-SUM($B17:F17)))</f>
        <v>0</v>
      </c>
      <c r="H17" s="24" t="n">
        <f aca="false">MIN(H16,MAX(0,Assumptions!$B$20*Budget!$B$17-SUM($B17:G17)))</f>
        <v>0</v>
      </c>
      <c r="I17" s="24" t="n">
        <f aca="false">MIN(I16,MAX(0,Assumptions!$B$20*Budget!$B$17-SUM($B17:H17)))</f>
        <v>0</v>
      </c>
      <c r="J17" s="24" t="n">
        <f aca="false">MIN(J16,MAX(0,Assumptions!$B$20*Budget!$B$17-SUM($B17:I17)))</f>
        <v>0</v>
      </c>
      <c r="K17" s="24" t="n">
        <f aca="false">MIN(K16,MAX(0,Assumptions!$B$20*Budget!$B$17-SUM($B17:J17)))</f>
        <v>0</v>
      </c>
      <c r="L17" s="24" t="n">
        <f aca="false">MIN(L16,MAX(0,Assumptions!$B$20*Budget!$B$17-SUM($B17:K17)))</f>
        <v>0</v>
      </c>
      <c r="M17" s="24" t="n">
        <f aca="false">MIN(M16,MAX(0,Assumptions!$B$20*Budget!$B$17-SUM($B17:L17)))</f>
        <v>0</v>
      </c>
      <c r="N17" s="24" t="n">
        <f aca="false">MIN(N16,MAX(0,Assumptions!$B$20*Budget!$B$17-SUM($B17:M17)))</f>
        <v>0</v>
      </c>
      <c r="O17" s="24" t="n">
        <f aca="false">MIN(O16,MAX(0,Assumptions!$B$20*Budget!$B$17-SUM($B17:N17)))</f>
        <v>0</v>
      </c>
      <c r="P17" s="24" t="n">
        <f aca="false">MIN(P16,MAX(0,Assumptions!$B$20*Budget!$B$17-SUM($B17:O17)))</f>
        <v>0</v>
      </c>
      <c r="Q17" s="24" t="n">
        <f aca="false">MIN(Q16,MAX(0,Assumptions!$B$20*Budget!$B$17-SUM($B17:P17)))</f>
        <v>0</v>
      </c>
      <c r="R17" s="24" t="n">
        <f aca="false">MIN(R16,MAX(0,Assumptions!$B$20*Budget!$B$17-SUM($B17:Q17)))</f>
        <v>0</v>
      </c>
      <c r="S17" s="24" t="n">
        <f aca="false">MIN(S16,MAX(0,Assumptions!$B$20*Budget!$B$17-SUM($B17:R17)))</f>
        <v>0</v>
      </c>
      <c r="T17" s="24" t="n">
        <f aca="false">MIN(T16,MAX(0,Assumptions!$B$20*Budget!$B$17-SUM($B17:S17)))</f>
        <v>0</v>
      </c>
    </row>
    <row r="18" customFormat="false" ht="15" hidden="false" customHeight="false" outlineLevel="0" collapsed="false">
      <c r="A18" s="15" t="s">
        <v>152</v>
      </c>
      <c r="B18" s="24" t="n">
        <f aca="false">B16-B17</f>
        <v>0</v>
      </c>
      <c r="C18" s="24" t="n">
        <f aca="false">C16-C17</f>
        <v>0</v>
      </c>
      <c r="D18" s="24" t="n">
        <f aca="false">D16-D17</f>
        <v>0</v>
      </c>
      <c r="E18" s="24" t="n">
        <f aca="false">E16-E17</f>
        <v>1573369.63</v>
      </c>
      <c r="F18" s="24" t="n">
        <f aca="false">F16-F17</f>
        <v>4573194.378</v>
      </c>
      <c r="G18" s="24" t="n">
        <f aca="false">G16-G17</f>
        <v>4673194.378</v>
      </c>
      <c r="H18" s="24" t="n">
        <f aca="false">H16-H17</f>
        <v>4135171.51</v>
      </c>
      <c r="I18" s="24" t="n">
        <f aca="false">I16-I17</f>
        <v>3328137.208</v>
      </c>
      <c r="J18" s="24" t="n">
        <f aca="false">J16-J17</f>
        <v>2521102.906</v>
      </c>
      <c r="K18" s="24" t="n">
        <f aca="false">K16-K17</f>
        <v>0</v>
      </c>
      <c r="L18" s="24" t="n">
        <f aca="false">L16-L17</f>
        <v>0</v>
      </c>
      <c r="M18" s="24" t="n">
        <f aca="false">M16-M17</f>
        <v>0</v>
      </c>
      <c r="N18" s="24" t="n">
        <f aca="false">N16-N17</f>
        <v>0</v>
      </c>
      <c r="O18" s="24" t="n">
        <f aca="false">O16-O17</f>
        <v>0</v>
      </c>
      <c r="P18" s="24" t="n">
        <f aca="false">P16-P17</f>
        <v>0</v>
      </c>
      <c r="Q18" s="24" t="n">
        <f aca="false">Q16-Q17</f>
        <v>0</v>
      </c>
      <c r="R18" s="24" t="n">
        <f aca="false">R16-R17</f>
        <v>0</v>
      </c>
      <c r="S18" s="24" t="n">
        <f aca="false">S16-S17</f>
        <v>0</v>
      </c>
      <c r="T18" s="24" t="n">
        <f aca="false">T16-T17</f>
        <v>0</v>
      </c>
    </row>
    <row r="19" customFormat="false" ht="15" hidden="false" customHeight="false" outlineLevel="0" collapsed="false">
      <c r="A19" s="3" t="s">
        <v>153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customFormat="false" ht="15" hidden="false" customHeight="false" outlineLevel="0" collapsed="false">
      <c r="A20" s="5" t="s">
        <v>154</v>
      </c>
      <c r="B20" s="25" t="n">
        <f aca="false">IF(B$5&lt;Assumptions!$B$29,0,MIN(Assumptions!$B$25,Assumptions!$B$30+(B$5-Assumptions!$B$29)*Assumptions!$B$31))</f>
        <v>0</v>
      </c>
      <c r="C20" s="25" t="n">
        <f aca="false">IF(C$5&lt;Assumptions!$B$29,0,MIN(Assumptions!$B$25,Assumptions!$B$30+(C$5-Assumptions!$B$29)*Assumptions!$B$31))</f>
        <v>0</v>
      </c>
      <c r="D20" s="25" t="n">
        <f aca="false">IF(D$5&lt;Assumptions!$B$29,0,MIN(Assumptions!$B$25,Assumptions!$B$30+(D$5-Assumptions!$B$29)*Assumptions!$B$31))</f>
        <v>0</v>
      </c>
      <c r="E20" s="25" t="n">
        <f aca="false">IF(E$5&lt;Assumptions!$B$29,0,MIN(Assumptions!$B$25,Assumptions!$B$30+(E$5-Assumptions!$B$29)*Assumptions!$B$31))</f>
        <v>0</v>
      </c>
      <c r="F20" s="25" t="n">
        <f aca="false">IF(F$5&lt;Assumptions!$B$29,0,MIN(Assumptions!$B$25,Assumptions!$B$30+(F$5-Assumptions!$B$29)*Assumptions!$B$31))</f>
        <v>0</v>
      </c>
      <c r="G20" s="25" t="n">
        <f aca="false">IF(G$5&lt;Assumptions!$B$29,0,MIN(Assumptions!$B$25,Assumptions!$B$30+(G$5-Assumptions!$B$29)*Assumptions!$B$31))</f>
        <v>0</v>
      </c>
      <c r="H20" s="25" t="n">
        <f aca="false">IF(H$5&lt;Assumptions!$B$29,0,MIN(Assumptions!$B$25,Assumptions!$B$30+(H$5-Assumptions!$B$29)*Assumptions!$B$31))</f>
        <v>0</v>
      </c>
      <c r="I20" s="25" t="n">
        <f aca="false">IF(I$5&lt;Assumptions!$B$29,0,MIN(Assumptions!$B$25,Assumptions!$B$30+(I$5-Assumptions!$B$29)*Assumptions!$B$31))</f>
        <v>0.08</v>
      </c>
      <c r="J20" s="25" t="n">
        <f aca="false">IF(J$5&lt;Assumptions!$B$29,0,MIN(Assumptions!$B$25,Assumptions!$B$30+(J$5-Assumptions!$B$29)*Assumptions!$B$31))</f>
        <v>0.22</v>
      </c>
      <c r="K20" s="25" t="n">
        <f aca="false">IF(K$5&lt;Assumptions!$B$29,0,MIN(Assumptions!$B$25,Assumptions!$B$30+(K$5-Assumptions!$B$29)*Assumptions!$B$31))</f>
        <v>0.36</v>
      </c>
      <c r="L20" s="25" t="n">
        <f aca="false">IF(L$5&lt;Assumptions!$B$29,0,MIN(Assumptions!$B$25,Assumptions!$B$30+(L$5-Assumptions!$B$29)*Assumptions!$B$31))</f>
        <v>0.5</v>
      </c>
      <c r="M20" s="25" t="n">
        <f aca="false">IF(M$5&lt;Assumptions!$B$29,0,MIN(Assumptions!$B$25,Assumptions!$B$30+(M$5-Assumptions!$B$29)*Assumptions!$B$31))</f>
        <v>0.64</v>
      </c>
      <c r="N20" s="25" t="n">
        <f aca="false">IF(N$5&lt;Assumptions!$B$29,0,MIN(Assumptions!$B$25,Assumptions!$B$30+(N$5-Assumptions!$B$29)*Assumptions!$B$31))</f>
        <v>0.78</v>
      </c>
      <c r="O20" s="25" t="n">
        <f aca="false">IF(O$5&lt;Assumptions!$B$29,0,MIN(Assumptions!$B$25,Assumptions!$B$30+(O$5-Assumptions!$B$29)*Assumptions!$B$31))</f>
        <v>0.92</v>
      </c>
      <c r="P20" s="25" t="n">
        <f aca="false">IF(P$5&lt;Assumptions!$B$29,0,MIN(Assumptions!$B$25,Assumptions!$B$30+(P$5-Assumptions!$B$29)*Assumptions!$B$31))</f>
        <v>0.94</v>
      </c>
      <c r="Q20" s="25" t="n">
        <f aca="false">IF(Q$5&lt;Assumptions!$B$29,0,MIN(Assumptions!$B$25,Assumptions!$B$30+(Q$5-Assumptions!$B$29)*Assumptions!$B$31))</f>
        <v>0.94</v>
      </c>
      <c r="R20" s="25" t="n">
        <f aca="false">IF(R$5&lt;Assumptions!$B$29,0,MIN(Assumptions!$B$25,Assumptions!$B$30+(R$5-Assumptions!$B$29)*Assumptions!$B$31))</f>
        <v>0.94</v>
      </c>
      <c r="S20" s="25" t="n">
        <f aca="false">IF(S$5&lt;Assumptions!$B$29,0,MIN(Assumptions!$B$25,Assumptions!$B$30+(S$5-Assumptions!$B$29)*Assumptions!$B$31))</f>
        <v>0.94</v>
      </c>
      <c r="T20" s="25" t="n">
        <f aca="false">IF(T$5&lt;Assumptions!$B$29,0,MIN(Assumptions!$B$25,Assumptions!$B$30+(T$5-Assumptions!$B$29)*Assumptions!$B$31))</f>
        <v>0.94</v>
      </c>
    </row>
    <row r="21" customFormat="false" ht="15" hidden="false" customHeight="false" outlineLevel="0" collapsed="false">
      <c r="A21" s="5" t="s">
        <v>155</v>
      </c>
      <c r="B21" s="24" t="n">
        <f aca="false">Assumptions!$B$5*B20*(Assumptions!$B$23+Assumptions!$B$24)*3*(1+Assumptions!$B$28)^(B$5/4)</f>
        <v>0</v>
      </c>
      <c r="C21" s="24" t="n">
        <f aca="false">Assumptions!$B$5*C20*(Assumptions!$B$23+Assumptions!$B$24)*3*(1+Assumptions!$B$28)^(C$5/4)</f>
        <v>0</v>
      </c>
      <c r="D21" s="24" t="n">
        <f aca="false">Assumptions!$B$5*D20*(Assumptions!$B$23+Assumptions!$B$24)*3*(1+Assumptions!$B$28)^(D$5/4)</f>
        <v>0</v>
      </c>
      <c r="E21" s="24" t="n">
        <f aca="false">Assumptions!$B$5*E20*(Assumptions!$B$23+Assumptions!$B$24)*3*(1+Assumptions!$B$28)^(E$5/4)</f>
        <v>0</v>
      </c>
      <c r="F21" s="24" t="n">
        <f aca="false">Assumptions!$B$5*F20*(Assumptions!$B$23+Assumptions!$B$24)*3*(1+Assumptions!$B$28)^(F$5/4)</f>
        <v>0</v>
      </c>
      <c r="G21" s="24" t="n">
        <f aca="false">Assumptions!$B$5*G20*(Assumptions!$B$23+Assumptions!$B$24)*3*(1+Assumptions!$B$28)^(G$5/4)</f>
        <v>0</v>
      </c>
      <c r="H21" s="24" t="n">
        <f aca="false">Assumptions!$B$5*H20*(Assumptions!$B$23+Assumptions!$B$24)*3*(1+Assumptions!$B$28)^(H$5/4)</f>
        <v>0</v>
      </c>
      <c r="I21" s="24" t="n">
        <f aca="false">Assumptions!$B$5*I20*(Assumptions!$B$23+Assumptions!$B$24)*3*(1+Assumptions!$B$28)^(I$5/4)</f>
        <v>76428.9990283068</v>
      </c>
      <c r="J21" s="24" t="n">
        <f aca="false">Assumptions!$B$5*J20*(Assumptions!$B$23+Assumptions!$B$24)*3*(1+Assumptions!$B$28)^(J$5/4)</f>
        <v>211738.6656</v>
      </c>
      <c r="K21" s="24" t="n">
        <f aca="false">Assumptions!$B$5*K20*(Assumptions!$B$23+Assumptions!$B$24)*3*(1+Assumptions!$B$28)^(K$5/4)</f>
        <v>349051.330605071</v>
      </c>
      <c r="L21" s="24" t="n">
        <f aca="false">Assumptions!$B$5*L20*(Assumptions!$B$23+Assumptions!$B$24)*3*(1+Assumptions!$B$28)^(L$5/4)</f>
        <v>488389.263025391</v>
      </c>
      <c r="M21" s="24" t="n">
        <f aca="false">Assumptions!$B$5*M20*(Assumptions!$B$23+Assumptions!$B$24)*3*(1+Assumptions!$B$28)^(M$5/4)</f>
        <v>629774.951993248</v>
      </c>
      <c r="N21" s="24" t="n">
        <f aca="false">Assumptions!$B$5*N20*(Assumptions!$B$23+Assumptions!$B$24)*3*(1+Assumptions!$B$28)^(N$5/4)</f>
        <v>773231.108832</v>
      </c>
      <c r="O21" s="24" t="n">
        <f aca="false">Assumptions!$B$5*O20*(Assumptions!$B$23+Assumptions!$B$24)*3*(1+Assumptions!$B$28)^(O$5/4)</f>
        <v>918780.669114903</v>
      </c>
      <c r="P21" s="24" t="n">
        <f aca="false">Assumptions!$B$5*P20*(Assumptions!$B$23+Assumptions!$B$24)*3*(1+Assumptions!$B$28)^(P$5/4)</f>
        <v>945716.968922368</v>
      </c>
      <c r="Q21" s="24" t="n">
        <f aca="false">Assumptions!$B$5*Q20*(Assumptions!$B$23+Assumptions!$B$24)*3*(1+Assumptions!$B$28)^(Q$5/4)</f>
        <v>952731.419562285</v>
      </c>
      <c r="R21" s="24" t="n">
        <f aca="false">Assumptions!$B$5*R20*(Assumptions!$B$23+Assumptions!$B$24)*3*(1+Assumptions!$B$28)^(R$5/4)</f>
        <v>959797.89688608</v>
      </c>
      <c r="S21" s="24" t="n">
        <f aca="false">Assumptions!$B$5*S20*(Assumptions!$B$23+Assumptions!$B$24)*3*(1+Assumptions!$B$28)^(S$5/4)</f>
        <v>966916.786779401</v>
      </c>
      <c r="T21" s="24" t="n">
        <f aca="false">Assumptions!$B$5*T20*(Assumptions!$B$23+Assumptions!$B$24)*3*(1+Assumptions!$B$28)^(T$5/4)</f>
        <v>974088.477990039</v>
      </c>
    </row>
    <row r="22" customFormat="false" ht="15" hidden="false" customHeight="false" outlineLevel="0" collapsed="false">
      <c r="A22" s="5" t="s">
        <v>156</v>
      </c>
      <c r="B22" s="24" t="n">
        <f aca="false">-(IF(B$5&gt;=Assumptions!$B$29,(Assumptions!$B$27*Assumptions!$B$26*(Assumptions!$B$5*Assumptions!$B$25*(Assumptions!$B$23+Assumptions!$B$24)*12)/4)*(1+Assumptions!$B$28)^(B$5/4),0)+((1-Assumptions!$B$27)*Assumptions!$B$26)*B21)</f>
        <v>-0</v>
      </c>
      <c r="C22" s="24" t="n">
        <f aca="false">-(IF(C$5&gt;=Assumptions!$B$29,(Assumptions!$B$27*Assumptions!$B$26*(Assumptions!$B$5*Assumptions!$B$25*(Assumptions!$B$23+Assumptions!$B$24)*12)/4)*(1+Assumptions!$B$28)^(C$5/4),0)+((1-Assumptions!$B$27)*Assumptions!$B$26)*C21)</f>
        <v>-0</v>
      </c>
      <c r="D22" s="24" t="n">
        <f aca="false">-(IF(D$5&gt;=Assumptions!$B$29,(Assumptions!$B$27*Assumptions!$B$26*(Assumptions!$B$5*Assumptions!$B$25*(Assumptions!$B$23+Assumptions!$B$24)*12)/4)*(1+Assumptions!$B$28)^(D$5/4),0)+((1-Assumptions!$B$27)*Assumptions!$B$26)*D21)</f>
        <v>-0</v>
      </c>
      <c r="E22" s="24" t="n">
        <f aca="false">-(IF(E$5&gt;=Assumptions!$B$29,(Assumptions!$B$27*Assumptions!$B$26*(Assumptions!$B$5*Assumptions!$B$25*(Assumptions!$B$23+Assumptions!$B$24)*12)/4)*(1+Assumptions!$B$28)^(E$5/4),0)+((1-Assumptions!$B$27)*Assumptions!$B$26)*E21)</f>
        <v>-0</v>
      </c>
      <c r="F22" s="24" t="n">
        <f aca="false">-(IF(F$5&gt;=Assumptions!$B$29,(Assumptions!$B$27*Assumptions!$B$26*(Assumptions!$B$5*Assumptions!$B$25*(Assumptions!$B$23+Assumptions!$B$24)*12)/4)*(1+Assumptions!$B$28)^(F$5/4),0)+((1-Assumptions!$B$27)*Assumptions!$B$26)*F21)</f>
        <v>-0</v>
      </c>
      <c r="G22" s="24" t="n">
        <f aca="false">-(IF(G$5&gt;=Assumptions!$B$29,(Assumptions!$B$27*Assumptions!$B$26*(Assumptions!$B$5*Assumptions!$B$25*(Assumptions!$B$23+Assumptions!$B$24)*12)/4)*(1+Assumptions!$B$28)^(G$5/4),0)+((1-Assumptions!$B$27)*Assumptions!$B$26)*G21)</f>
        <v>-0</v>
      </c>
      <c r="H22" s="24" t="n">
        <f aca="false">-(IF(H$5&gt;=Assumptions!$B$29,(Assumptions!$B$27*Assumptions!$B$26*(Assumptions!$B$5*Assumptions!$B$25*(Assumptions!$B$23+Assumptions!$B$24)*12)/4)*(1+Assumptions!$B$28)^(H$5/4),0)+((1-Assumptions!$B$27)*Assumptions!$B$26)*H21)</f>
        <v>-0</v>
      </c>
      <c r="I22" s="24" t="n">
        <f aca="false">-(IF(I$5&gt;=Assumptions!$B$29,(Assumptions!$B$27*Assumptions!$B$26*(Assumptions!$B$5*Assumptions!$B$25*(Assumptions!$B$23+Assumptions!$B$24)*12)/4)*(1+Assumptions!$B$28)^(I$5/4),0)+((1-Assumptions!$B$27)*Assumptions!$B$26)*I21)</f>
        <v>-179627.254966278</v>
      </c>
      <c r="J22" s="24" t="n">
        <f aca="false">-(IF(J$5&gt;=Assumptions!$B$29,(Assumptions!$B$27*Assumptions!$B$26*(Assumptions!$B$5*Assumptions!$B$25*(Assumptions!$B$23+Assumptions!$B$24)*12)/4)*(1+Assumptions!$B$28)^(J$5/4),0)+((1-Assumptions!$B$27)*Assumptions!$B$26)*J21)</f>
        <v>-201575.2096512</v>
      </c>
      <c r="K22" s="24" t="n">
        <f aca="false">-(IF(K$5&gt;=Assumptions!$B$29,(Assumptions!$B$27*Assumptions!$B$26*(Assumptions!$B$5*Assumptions!$B$25*(Assumptions!$B$23+Assumptions!$B$24)*12)/4)*(1+Assumptions!$B$28)^(K$5/4),0)+((1-Assumptions!$B$27)*Assumptions!$B$26)*K21)</f>
        <v>-223838.861620796</v>
      </c>
      <c r="L22" s="24" t="n">
        <f aca="false">-(IF(L$5&gt;=Assumptions!$B$29,(Assumptions!$B$27*Assumptions!$B$26*(Assumptions!$B$5*Assumptions!$B$25*(Assumptions!$B$23+Assumptions!$B$24)*12)/4)*(1+Assumptions!$B$28)^(L$5/4),0)+((1-Assumptions!$B$27)*Assumptions!$B$26)*L21)</f>
        <v>-246421.686552092</v>
      </c>
      <c r="M22" s="24" t="n">
        <f aca="false">-(IF(M$5&gt;=Assumptions!$B$29,(Assumptions!$B$27*Assumptions!$B$26*(Assumptions!$B$5*Assumptions!$B$25*(Assumptions!$B$23+Assumptions!$B$24)*12)/4)*(1+Assumptions!$B$28)^(M$5/4),0)+((1-Assumptions!$B$27)*Assumptions!$B$26)*M21)</f>
        <v>-269327.194313362</v>
      </c>
      <c r="N22" s="24" t="n">
        <f aca="false">-(IF(N$5&gt;=Assumptions!$B$29,(Assumptions!$B$27*Assumptions!$B$26*(Assumptions!$B$5*Assumptions!$B$25*(Assumptions!$B$23+Assumptions!$B$24)*12)/4)*(1+Assumptions!$B$28)^(N$5/4),0)+((1-Assumptions!$B$27)*Assumptions!$B$26)*N21)</f>
        <v>-292558.929280128</v>
      </c>
      <c r="O22" s="24" t="n">
        <f aca="false">-(IF(O$5&gt;=Assumptions!$B$29,(Assumptions!$B$27*Assumptions!$B$26*(Assumptions!$B$5*Assumptions!$B$25*(Assumptions!$B$23+Assumptions!$B$24)*12)/4)*(1+Assumptions!$B$28)^(O$5/4),0)+((1-Assumptions!$B$27)*Assumptions!$B$26)*O21)</f>
        <v>-316120.470653947</v>
      </c>
      <c r="P22" s="24" t="n">
        <f aca="false">-(IF(P$5&gt;=Assumptions!$B$29,(Assumptions!$B$27*Assumptions!$B$26*(Assumptions!$B$5*Assumptions!$B$25*(Assumptions!$B$23+Assumptions!$B$24)*12)/4)*(1+Assumptions!$B$28)^(P$5/4),0)+((1-Assumptions!$B$27)*Assumptions!$B$26)*P21)</f>
        <v>-321543.769433605</v>
      </c>
      <c r="Q22" s="24" t="n">
        <f aca="false">-(IF(Q$5&gt;=Assumptions!$B$29,(Assumptions!$B$27*Assumptions!$B$26*(Assumptions!$B$5*Assumptions!$B$25*(Assumptions!$B$23+Assumptions!$B$24)*12)/4)*(1+Assumptions!$B$28)^(Q$5/4),0)+((1-Assumptions!$B$27)*Assumptions!$B$26)*Q21)</f>
        <v>-323928.682651177</v>
      </c>
      <c r="R22" s="24" t="n">
        <f aca="false">-(IF(R$5&gt;=Assumptions!$B$29,(Assumptions!$B$27*Assumptions!$B$26*(Assumptions!$B$5*Assumptions!$B$25*(Assumptions!$B$23+Assumptions!$B$24)*12)/4)*(1+Assumptions!$B$28)^(R$5/4),0)+((1-Assumptions!$B$27)*Assumptions!$B$26)*R21)</f>
        <v>-326331.284941267</v>
      </c>
      <c r="S22" s="24" t="n">
        <f aca="false">-(IF(S$5&gt;=Assumptions!$B$29,(Assumptions!$B$27*Assumptions!$B$26*(Assumptions!$B$5*Assumptions!$B$25*(Assumptions!$B$23+Assumptions!$B$24)*12)/4)*(1+Assumptions!$B$28)^(S$5/4),0)+((1-Assumptions!$B$27)*Assumptions!$B$26)*S21)</f>
        <v>-328751.707504996</v>
      </c>
      <c r="T22" s="24" t="n">
        <f aca="false">-(IF(T$5&gt;=Assumptions!$B$29,(Assumptions!$B$27*Assumptions!$B$26*(Assumptions!$B$5*Assumptions!$B$25*(Assumptions!$B$23+Assumptions!$B$24)*12)/4)*(1+Assumptions!$B$28)^(T$5/4),0)+((1-Assumptions!$B$27)*Assumptions!$B$26)*T21)</f>
        <v>-331190.082516613</v>
      </c>
    </row>
    <row r="23" customFormat="false" ht="15" hidden="false" customHeight="false" outlineLevel="0" collapsed="false">
      <c r="A23" s="26" t="s">
        <v>157</v>
      </c>
      <c r="B23" s="27" t="n">
        <f aca="false">B21+B22</f>
        <v>0</v>
      </c>
      <c r="C23" s="27" t="n">
        <f aca="false">C21+C22</f>
        <v>0</v>
      </c>
      <c r="D23" s="27" t="n">
        <f aca="false">D21+D22</f>
        <v>0</v>
      </c>
      <c r="E23" s="27" t="n">
        <f aca="false">E21+E22</f>
        <v>0</v>
      </c>
      <c r="F23" s="27" t="n">
        <f aca="false">F21+F22</f>
        <v>0</v>
      </c>
      <c r="G23" s="27" t="n">
        <f aca="false">G21+G22</f>
        <v>0</v>
      </c>
      <c r="H23" s="27" t="n">
        <f aca="false">H21+H22</f>
        <v>0</v>
      </c>
      <c r="I23" s="27" t="n">
        <f aca="false">I21+I22</f>
        <v>-103198.255937971</v>
      </c>
      <c r="J23" s="27" t="n">
        <f aca="false">J21+J22</f>
        <v>10163.4559488</v>
      </c>
      <c r="K23" s="27" t="n">
        <f aca="false">K21+K22</f>
        <v>125212.468984275</v>
      </c>
      <c r="L23" s="27" t="n">
        <f aca="false">L21+L22</f>
        <v>241967.5764733</v>
      </c>
      <c r="M23" s="27" t="n">
        <f aca="false">M21+M22</f>
        <v>360447.757679885</v>
      </c>
      <c r="N23" s="27" t="n">
        <f aca="false">N21+N22</f>
        <v>480672.179551872</v>
      </c>
      <c r="O23" s="27" t="n">
        <f aca="false">O21+O22</f>
        <v>602660.198460956</v>
      </c>
      <c r="P23" s="27" t="n">
        <f aca="false">P21+P22</f>
        <v>624173.199488763</v>
      </c>
      <c r="Q23" s="27" t="n">
        <f aca="false">Q21+Q22</f>
        <v>628802.736911108</v>
      </c>
      <c r="R23" s="27" t="n">
        <f aca="false">R21+R22</f>
        <v>633466.611944813</v>
      </c>
      <c r="S23" s="27" t="n">
        <f aca="false">S21+S22</f>
        <v>638165.079274405</v>
      </c>
      <c r="T23" s="27" t="n">
        <f aca="false">T21+T22</f>
        <v>642898.395473426</v>
      </c>
    </row>
    <row r="24" customFormat="false" ht="15" hidden="false" customHeight="false" outlineLevel="0" collapsed="false">
      <c r="A24" s="3" t="s">
        <v>158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customFormat="false" ht="15" hidden="false" customHeight="false" outlineLevel="0" collapsed="false">
      <c r="A25" s="5" t="s">
        <v>159</v>
      </c>
      <c r="B25" s="24" t="n">
        <v>0</v>
      </c>
      <c r="C25" s="24" t="n">
        <f aca="false">B28</f>
        <v>0</v>
      </c>
      <c r="D25" s="24" t="n">
        <f aca="false">C28</f>
        <v>0</v>
      </c>
      <c r="E25" s="24" t="n">
        <f aca="false">D28</f>
        <v>0</v>
      </c>
      <c r="F25" s="24" t="n">
        <f aca="false">E28</f>
        <v>1573369.63</v>
      </c>
      <c r="G25" s="24" t="n">
        <f aca="false">F28</f>
        <v>6176064.6885625</v>
      </c>
      <c r="H25" s="24" t="n">
        <f aca="false">G28</f>
        <v>10965060.2794731</v>
      </c>
      <c r="I25" s="24" t="n">
        <f aca="false">H28</f>
        <v>15305826.6697132</v>
      </c>
      <c r="J25" s="24" t="n">
        <f aca="false">I28</f>
        <v>19024146.3837083</v>
      </c>
      <c r="K25" s="24" t="n">
        <f aca="false">J28</f>
        <v>21891788.578454</v>
      </c>
      <c r="L25" s="24" t="n">
        <f aca="false">K28</f>
        <v>22177047.1453157</v>
      </c>
      <c r="M25" s="24" t="n">
        <f aca="false">L28</f>
        <v>22350899.2028171</v>
      </c>
      <c r="N25" s="24" t="n">
        <f aca="false">M28</f>
        <v>22409530.80519</v>
      </c>
      <c r="O25" s="24" t="n">
        <f aca="false">N28</f>
        <v>22349037.3282355</v>
      </c>
      <c r="P25" s="24" t="n">
        <f aca="false">O28</f>
        <v>22165421.5796789</v>
      </c>
      <c r="Q25" s="24" t="n">
        <f aca="false">P28</f>
        <v>21956850.0348092</v>
      </c>
      <c r="R25" s="24" t="n">
        <f aca="false">Q28</f>
        <v>21739738.2360507</v>
      </c>
      <c r="S25" s="24" t="n">
        <f aca="false">R28</f>
        <v>21513891.7160319</v>
      </c>
      <c r="T25" s="24" t="n">
        <f aca="false">S28</f>
        <v>21279112.1064331</v>
      </c>
    </row>
    <row r="26" customFormat="false" ht="15" hidden="false" customHeight="false" outlineLevel="0" collapsed="false">
      <c r="A26" s="5" t="s">
        <v>160</v>
      </c>
      <c r="B26" s="24" t="n">
        <f aca="false">B25*Assumptions!$B$18/4</f>
        <v>0</v>
      </c>
      <c r="C26" s="24" t="n">
        <f aca="false">C25*Assumptions!$B$18/4</f>
        <v>0</v>
      </c>
      <c r="D26" s="24" t="n">
        <f aca="false">D25*Assumptions!$B$18/4</f>
        <v>0</v>
      </c>
      <c r="E26" s="24" t="n">
        <f aca="false">E25*Assumptions!$B$18/4</f>
        <v>0</v>
      </c>
      <c r="F26" s="24" t="n">
        <f aca="false">F25*Assumptions!$B$18/4</f>
        <v>29500.6805625</v>
      </c>
      <c r="G26" s="24" t="n">
        <f aca="false">G25*Assumptions!$B$18/4</f>
        <v>115801.212910547</v>
      </c>
      <c r="H26" s="24" t="n">
        <f aca="false">H25*Assumptions!$B$18/4</f>
        <v>205594.88024012</v>
      </c>
      <c r="I26" s="24" t="n">
        <f aca="false">I25*Assumptions!$B$18/4</f>
        <v>286984.250057122</v>
      </c>
      <c r="J26" s="24" t="n">
        <f aca="false">J25*Assumptions!$B$18/4</f>
        <v>356702.74469453</v>
      </c>
      <c r="K26" s="24" t="n">
        <f aca="false">K25*Assumptions!$B$18/4</f>
        <v>410471.035846012</v>
      </c>
      <c r="L26" s="24" t="n">
        <f aca="false">L25*Assumptions!$B$18/4</f>
        <v>415819.63397467</v>
      </c>
      <c r="M26" s="24" t="n">
        <f aca="false">M25*Assumptions!$B$18/4</f>
        <v>419079.360052821</v>
      </c>
      <c r="N26" s="24" t="n">
        <f aca="false">N25*Assumptions!$B$18/4</f>
        <v>420178.702597313</v>
      </c>
      <c r="O26" s="24" t="n">
        <f aca="false">O25*Assumptions!$B$18/4</f>
        <v>419044.449904415</v>
      </c>
      <c r="P26" s="24" t="n">
        <f aca="false">P25*Assumptions!$B$18/4</f>
        <v>415601.65461898</v>
      </c>
      <c r="Q26" s="24" t="n">
        <f aca="false">Q25*Assumptions!$B$18/4</f>
        <v>411690.938152672</v>
      </c>
      <c r="R26" s="24" t="n">
        <f aca="false">R25*Assumptions!$B$18/4</f>
        <v>407620.091925951</v>
      </c>
      <c r="S26" s="24" t="n">
        <f aca="false">S25*Assumptions!$B$18/4</f>
        <v>403385.469675597</v>
      </c>
      <c r="T26" s="24" t="n">
        <f aca="false">T25*Assumptions!$B$18/4</f>
        <v>398983.35199562</v>
      </c>
    </row>
    <row r="27" customFormat="false" ht="15" hidden="false" customHeight="false" outlineLevel="0" collapsed="false">
      <c r="A27" s="5" t="s">
        <v>161</v>
      </c>
      <c r="B27" s="24" t="n">
        <f aca="false">B18+B26-B23</f>
        <v>0</v>
      </c>
      <c r="C27" s="24" t="n">
        <f aca="false">C18+C26-C23</f>
        <v>0</v>
      </c>
      <c r="D27" s="24" t="n">
        <f aca="false">D18+D26-D23</f>
        <v>0</v>
      </c>
      <c r="E27" s="24" t="n">
        <f aca="false">E18+E26-E23</f>
        <v>1573369.63</v>
      </c>
      <c r="F27" s="24" t="n">
        <f aca="false">F18+F26-F23</f>
        <v>4602695.0585625</v>
      </c>
      <c r="G27" s="24" t="n">
        <f aca="false">G18+G26-G23</f>
        <v>4788995.59091055</v>
      </c>
      <c r="H27" s="24" t="n">
        <f aca="false">H18+H26-H23</f>
        <v>4340766.39024012</v>
      </c>
      <c r="I27" s="24" t="n">
        <f aca="false">I18+I26-I23</f>
        <v>3718319.71399509</v>
      </c>
      <c r="J27" s="24" t="n">
        <f aca="false">J18+J26-J23</f>
        <v>2867642.19474573</v>
      </c>
      <c r="K27" s="24" t="n">
        <f aca="false">K18+K26-K23</f>
        <v>285258.566861738</v>
      </c>
      <c r="L27" s="24" t="n">
        <f aca="false">L18+L26-L23</f>
        <v>173852.05750137</v>
      </c>
      <c r="M27" s="24" t="n">
        <f aca="false">M18+M26-M23</f>
        <v>58631.6023729353</v>
      </c>
      <c r="N27" s="24" t="n">
        <f aca="false">N18+N26-N23</f>
        <v>-60493.4769545589</v>
      </c>
      <c r="O27" s="24" t="n">
        <f aca="false">O18+O26-O23</f>
        <v>-183615.74855654</v>
      </c>
      <c r="P27" s="24" t="n">
        <f aca="false">P18+P26-P23</f>
        <v>-208571.544869783</v>
      </c>
      <c r="Q27" s="24" t="n">
        <f aca="false">Q18+Q26-Q23</f>
        <v>-217111.798758437</v>
      </c>
      <c r="R27" s="24" t="n">
        <f aca="false">R18+R26-R23</f>
        <v>-225846.520018862</v>
      </c>
      <c r="S27" s="24" t="n">
        <f aca="false">S18+S26-S23</f>
        <v>-234779.609598807</v>
      </c>
      <c r="T27" s="24" t="n">
        <f aca="false">T18+T26-T23</f>
        <v>-243915.043477806</v>
      </c>
    </row>
    <row r="28" customFormat="false" ht="15" hidden="false" customHeight="false" outlineLevel="0" collapsed="false">
      <c r="A28" s="26" t="s">
        <v>162</v>
      </c>
      <c r="B28" s="27" t="n">
        <f aca="false">MAX(0,B25+B27)</f>
        <v>0</v>
      </c>
      <c r="C28" s="27" t="n">
        <f aca="false">MAX(0,C25+C27)</f>
        <v>0</v>
      </c>
      <c r="D28" s="27" t="n">
        <f aca="false">MAX(0,D25+D27)</f>
        <v>0</v>
      </c>
      <c r="E28" s="27" t="n">
        <f aca="false">MAX(0,E25+E27)</f>
        <v>1573369.63</v>
      </c>
      <c r="F28" s="27" t="n">
        <f aca="false">MAX(0,F25+F27)</f>
        <v>6176064.6885625</v>
      </c>
      <c r="G28" s="27" t="n">
        <f aca="false">MAX(0,G25+G27)</f>
        <v>10965060.2794731</v>
      </c>
      <c r="H28" s="27" t="n">
        <f aca="false">MAX(0,H25+H27)</f>
        <v>15305826.6697132</v>
      </c>
      <c r="I28" s="27" t="n">
        <f aca="false">MAX(0,I25+I27)</f>
        <v>19024146.3837083</v>
      </c>
      <c r="J28" s="27" t="n">
        <f aca="false">MAX(0,J25+J27)</f>
        <v>21891788.578454</v>
      </c>
      <c r="K28" s="27" t="n">
        <f aca="false">MAX(0,K25+K27)</f>
        <v>22177047.1453157</v>
      </c>
      <c r="L28" s="27" t="n">
        <f aca="false">MAX(0,L25+L27)</f>
        <v>22350899.2028171</v>
      </c>
      <c r="M28" s="27" t="n">
        <f aca="false">MAX(0,M25+M27)</f>
        <v>22409530.80519</v>
      </c>
      <c r="N28" s="27" t="n">
        <f aca="false">MAX(0,N25+N27)</f>
        <v>22349037.3282355</v>
      </c>
      <c r="O28" s="27" t="n">
        <f aca="false">MAX(0,O25+O27)</f>
        <v>22165421.5796789</v>
      </c>
      <c r="P28" s="27" t="n">
        <f aca="false">MAX(0,P25+P27)</f>
        <v>21956850.0348092</v>
      </c>
      <c r="Q28" s="27" t="n">
        <f aca="false">MAX(0,Q25+Q27)</f>
        <v>21739738.2360507</v>
      </c>
      <c r="R28" s="27" t="n">
        <f aca="false">MAX(0,R25+R27)</f>
        <v>21513891.7160319</v>
      </c>
      <c r="S28" s="27" t="n">
        <f aca="false">MAX(0,S25+S27)</f>
        <v>21279112.1064331</v>
      </c>
      <c r="T28" s="27" t="n">
        <f aca="false">MAX(0,T25+T27)</f>
        <v>21035197.0629553</v>
      </c>
    </row>
    <row r="29" customFormat="false" ht="15" hidden="false" customHeight="false" outlineLevel="0" collapsed="false">
      <c r="A29" s="5" t="s">
        <v>163</v>
      </c>
      <c r="B29" s="24" t="n">
        <f aca="false">MAX(0,-(B25+B27))</f>
        <v>-0</v>
      </c>
      <c r="C29" s="24" t="n">
        <f aca="false">MAX(0,-(C25+C27))</f>
        <v>-0</v>
      </c>
      <c r="D29" s="24" t="n">
        <f aca="false">MAX(0,-(D25+D27))</f>
        <v>-0</v>
      </c>
      <c r="E29" s="24" t="n">
        <f aca="false">MAX(0,-(E25+E27))</f>
        <v>0</v>
      </c>
      <c r="F29" s="24" t="n">
        <f aca="false">MAX(0,-(F25+F27))</f>
        <v>0</v>
      </c>
      <c r="G29" s="24" t="n">
        <f aca="false">MAX(0,-(G25+G27))</f>
        <v>0</v>
      </c>
      <c r="H29" s="24" t="n">
        <f aca="false">MAX(0,-(H25+H27))</f>
        <v>0</v>
      </c>
      <c r="I29" s="24" t="n">
        <f aca="false">MAX(0,-(I25+I27))</f>
        <v>0</v>
      </c>
      <c r="J29" s="24" t="n">
        <f aca="false">MAX(0,-(J25+J27))</f>
        <v>0</v>
      </c>
      <c r="K29" s="24" t="n">
        <f aca="false">MAX(0,-(K25+K27))</f>
        <v>0</v>
      </c>
      <c r="L29" s="24" t="n">
        <f aca="false">MAX(0,-(L25+L27))</f>
        <v>0</v>
      </c>
      <c r="M29" s="24" t="n">
        <f aca="false">MAX(0,-(M25+M27))</f>
        <v>0</v>
      </c>
      <c r="N29" s="24" t="n">
        <f aca="false">MAX(0,-(N25+N27))</f>
        <v>0</v>
      </c>
      <c r="O29" s="24" t="n">
        <f aca="false">MAX(0,-(O25+O27))</f>
        <v>0</v>
      </c>
      <c r="P29" s="24" t="n">
        <f aca="false">MAX(0,-(P25+P27))</f>
        <v>0</v>
      </c>
      <c r="Q29" s="24" t="n">
        <f aca="false">MAX(0,-(Q25+Q27))</f>
        <v>0</v>
      </c>
      <c r="R29" s="24" t="n">
        <f aca="false">MAX(0,-(R25+R27))</f>
        <v>0</v>
      </c>
      <c r="S29" s="24" t="n">
        <f aca="false">MAX(0,-(S25+S27))</f>
        <v>0</v>
      </c>
      <c r="T29" s="24" t="n">
        <f aca="false">MAX(0,-(T25+T27))</f>
        <v>0</v>
      </c>
    </row>
    <row r="30" customFormat="false" ht="15" hidden="false" customHeight="false" outlineLevel="0" collapsed="false">
      <c r="A30" s="3" t="s">
        <v>80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customFormat="false" ht="15" hidden="false" customHeight="false" outlineLevel="0" collapsed="false">
      <c r="A31" s="5" t="s">
        <v>164</v>
      </c>
      <c r="T31" s="24" t="n">
        <f aca="false">T23*4*(1+Assumptions!$B$28)</f>
        <v>2648741.38935051</v>
      </c>
    </row>
    <row r="32" customFormat="false" ht="15" hidden="false" customHeight="false" outlineLevel="0" collapsed="false">
      <c r="A32" s="5" t="s">
        <v>165</v>
      </c>
      <c r="T32" s="24" t="n">
        <f aca="false">T31/Assumptions!$B$35</f>
        <v>46065067.6408785</v>
      </c>
    </row>
    <row r="33" customFormat="false" ht="15" hidden="false" customHeight="false" outlineLevel="0" collapsed="false">
      <c r="A33" s="5" t="s">
        <v>166</v>
      </c>
      <c r="T33" s="24" t="n">
        <f aca="false">-T32*Assumptions!$B$36</f>
        <v>-921301.35281757</v>
      </c>
    </row>
    <row r="34" customFormat="false" ht="15" hidden="false" customHeight="false" outlineLevel="0" collapsed="false">
      <c r="A34" s="5" t="s">
        <v>167</v>
      </c>
      <c r="T34" s="24" t="n">
        <f aca="false">-T28</f>
        <v>-21035197.0629553</v>
      </c>
    </row>
    <row r="35" customFormat="false" ht="15" hidden="false" customHeight="false" outlineLevel="0" collapsed="false">
      <c r="A35" s="26" t="s">
        <v>168</v>
      </c>
      <c r="T35" s="27" t="n">
        <f aca="false">SUM(T32:T34)</f>
        <v>24108569.2251057</v>
      </c>
    </row>
    <row r="36" customFormat="false" ht="15" hidden="false" customHeight="false" outlineLevel="0" collapsed="false">
      <c r="A36" s="3" t="s">
        <v>169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customFormat="false" ht="15" hidden="false" customHeight="false" outlineLevel="0" collapsed="false">
      <c r="A37" s="26" t="s">
        <v>169</v>
      </c>
      <c r="B37" s="27" t="n">
        <f aca="false">-B17+B29</f>
        <v>-4705272</v>
      </c>
      <c r="C37" s="27" t="n">
        <f aca="false">-C17+C29</f>
        <v>-1614068.604</v>
      </c>
      <c r="D37" s="27" t="n">
        <f aca="false">-D17+D29</f>
        <v>-2690114.34</v>
      </c>
      <c r="E37" s="27" t="n">
        <f aca="false">-E17+E29</f>
        <v>-2192790.446</v>
      </c>
      <c r="F37" s="27" t="n">
        <f aca="false">-F17+F29</f>
        <v>0</v>
      </c>
      <c r="G37" s="27" t="n">
        <f aca="false">-G17+G29</f>
        <v>0</v>
      </c>
      <c r="H37" s="27" t="n">
        <f aca="false">-H17+H29</f>
        <v>0</v>
      </c>
      <c r="I37" s="27" t="n">
        <f aca="false">-I17+I29</f>
        <v>0</v>
      </c>
      <c r="J37" s="27" t="n">
        <f aca="false">-J17+J29</f>
        <v>0</v>
      </c>
      <c r="K37" s="27" t="n">
        <f aca="false">-K17+K29</f>
        <v>0</v>
      </c>
      <c r="L37" s="27" t="n">
        <f aca="false">-L17+L29</f>
        <v>0</v>
      </c>
      <c r="M37" s="27" t="n">
        <f aca="false">-M17+M29</f>
        <v>0</v>
      </c>
      <c r="N37" s="27" t="n">
        <f aca="false">-N17+N29</f>
        <v>0</v>
      </c>
      <c r="O37" s="27" t="n">
        <f aca="false">-O17+O29</f>
        <v>0</v>
      </c>
      <c r="P37" s="27" t="n">
        <f aca="false">-P17+P29</f>
        <v>0</v>
      </c>
      <c r="Q37" s="27" t="n">
        <f aca="false">-Q17+Q29</f>
        <v>0</v>
      </c>
      <c r="R37" s="27" t="n">
        <f aca="false">-R17+R29</f>
        <v>0</v>
      </c>
      <c r="S37" s="27" t="n">
        <f aca="false">-S17+S29</f>
        <v>0</v>
      </c>
      <c r="T37" s="27" t="n">
        <f aca="false">-T17+T29+T35</f>
        <v>24108569.2251057</v>
      </c>
    </row>
    <row r="39" customFormat="false" ht="15" hidden="false" customHeight="false" outlineLevel="0" collapsed="false">
      <c r="A39" s="5" t="s">
        <v>170</v>
      </c>
      <c r="B39" s="33" t="n">
        <f aca="false">IRR(B37:T37,0.03)</f>
        <v>0.0466219118512678</v>
      </c>
    </row>
    <row r="40" customFormat="false" ht="15" hidden="false" customHeight="false" outlineLevel="0" collapsed="false">
      <c r="A40" s="15" t="s">
        <v>171</v>
      </c>
      <c r="B40" s="11" t="n">
        <f aca="false">(1+B39)^4-1</f>
        <v>0.199939337988947</v>
      </c>
    </row>
    <row r="41" customFormat="false" ht="15" hidden="false" customHeight="false" outlineLevel="0" collapsed="false">
      <c r="A41" s="15" t="s">
        <v>18</v>
      </c>
      <c r="B41" s="12" t="n">
        <f aca="false">SUMIF(B37:T37,"&gt;0")/-SUMIF(B37:T37,"&lt;0")</f>
        <v>2.15211936408989</v>
      </c>
    </row>
    <row r="42" customFormat="false" ht="15" hidden="false" customHeight="false" outlineLevel="0" collapsed="false">
      <c r="A42" s="5" t="s">
        <v>20</v>
      </c>
      <c r="B42" s="24" t="n">
        <f aca="false">SUM(B37:T37)</f>
        <v>12906323.8351057</v>
      </c>
    </row>
    <row r="43" customFormat="false" ht="15" hidden="false" customHeight="false" outlineLevel="0" collapsed="false">
      <c r="A43" s="5" t="s">
        <v>22</v>
      </c>
      <c r="B43" s="24" t="n">
        <f aca="false">MAX(B28:T28)</f>
        <v>22409530.80519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project.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6" min="3" style="0" width="14"/>
    <col collapsed="false" customWidth="true" hidden="false" outlineLevel="0" max="7" min="7" style="0" width="4"/>
    <col collapsed="false" customWidth="true" hidden="false" outlineLevel="0" max="8" min="8" style="0" width="38"/>
    <col collapsed="false" customWidth="true" hidden="false" outlineLevel="0" max="9" min="9" style="0" width="18"/>
  </cols>
  <sheetData>
    <row r="1" customFormat="false" ht="19.7" hidden="false" customHeight="false" outlineLevel="0" collapsed="false">
      <c r="A1" s="1" t="s">
        <v>172</v>
      </c>
    </row>
    <row r="2" customFormat="false" ht="15" hidden="false" customHeight="false" outlineLevel="0" collapsed="false">
      <c r="A2" s="2" t="s">
        <v>173</v>
      </c>
    </row>
    <row r="4" customFormat="false" ht="15" hidden="false" customHeight="false" outlineLevel="0" collapsed="false">
      <c r="A4" s="15" t="s">
        <v>174</v>
      </c>
      <c r="H4" s="15" t="s">
        <v>175</v>
      </c>
    </row>
    <row r="5" customFormat="false" ht="15" hidden="false" customHeight="false" outlineLevel="0" collapsed="false">
      <c r="A5" s="5" t="s">
        <v>176</v>
      </c>
      <c r="B5" s="24" t="n">
        <f aca="false">(Assumptions!$B$5*Assumptions!$B$25*(Assumptions!$B$23+Assumptions!$B$24)*12)</f>
        <v>3411072</v>
      </c>
      <c r="H5" s="5" t="s">
        <v>165</v>
      </c>
      <c r="I5" s="8" t="n">
        <f aca="false">Timeline!T32</f>
        <v>46065067.6408785</v>
      </c>
    </row>
    <row r="6" customFormat="false" ht="15" hidden="false" customHeight="false" outlineLevel="0" collapsed="false">
      <c r="A6" s="5" t="s">
        <v>177</v>
      </c>
      <c r="B6" s="24" t="n">
        <f aca="false">B5*(1-Assumptions!$B$26)</f>
        <v>2251307.52</v>
      </c>
      <c r="H6" s="5" t="s">
        <v>168</v>
      </c>
      <c r="I6" s="8" t="n">
        <f aca="false">Timeline!T35</f>
        <v>24108569.2251057</v>
      </c>
    </row>
    <row r="7" customFormat="false" ht="15" hidden="false" customHeight="false" outlineLevel="0" collapsed="false">
      <c r="A7" s="5" t="s">
        <v>7</v>
      </c>
      <c r="B7" s="8" t="n">
        <f aca="false">Budget!$B$19</f>
        <v>37122873.8572089</v>
      </c>
      <c r="H7" s="5" t="s">
        <v>178</v>
      </c>
      <c r="I7" s="8" t="n">
        <f aca="false">Budget!B28</f>
        <v>11202245.39</v>
      </c>
    </row>
    <row r="8" customFormat="false" ht="15" hidden="false" customHeight="false" outlineLevel="0" collapsed="false">
      <c r="A8" s="15" t="s">
        <v>179</v>
      </c>
      <c r="B8" s="34" t="n">
        <f aca="false">B6/B7</f>
        <v>0.0606447531152769</v>
      </c>
      <c r="H8" s="5" t="s">
        <v>20</v>
      </c>
      <c r="I8" s="8" t="n">
        <f aca="false">Timeline!B42</f>
        <v>12906323.8351057</v>
      </c>
    </row>
    <row r="9" customFormat="false" ht="15" hidden="false" customHeight="false" outlineLevel="0" collapsed="false">
      <c r="A9" s="5" t="s">
        <v>6</v>
      </c>
      <c r="B9" s="7" t="n">
        <f aca="false">Assumptions!$B$35</f>
        <v>0.0575</v>
      </c>
      <c r="H9" s="15" t="s">
        <v>16</v>
      </c>
      <c r="I9" s="11" t="n">
        <f aca="false">Timeline!B40</f>
        <v>0.199939337988947</v>
      </c>
    </row>
    <row r="10" customFormat="false" ht="15" hidden="false" customHeight="false" outlineLevel="0" collapsed="false">
      <c r="A10" s="15" t="s">
        <v>180</v>
      </c>
      <c r="B10" s="35" t="n">
        <f aca="false">(B8-B9)*10000</f>
        <v>31.4475311527691</v>
      </c>
      <c r="H10" s="15" t="s">
        <v>18</v>
      </c>
      <c r="I10" s="12" t="n">
        <f aca="false">Timeline!B41</f>
        <v>2.15211936408989</v>
      </c>
    </row>
    <row r="11" customFormat="false" ht="15" hidden="false" customHeight="false" outlineLevel="0" collapsed="false">
      <c r="A11" s="5" t="s">
        <v>181</v>
      </c>
      <c r="B11" s="24" t="n">
        <f aca="false">B6/B9</f>
        <v>39153174.2608696</v>
      </c>
      <c r="H11" s="5" t="s">
        <v>22</v>
      </c>
      <c r="I11" s="8" t="n">
        <f aca="false">Timeline!B43</f>
        <v>22409530.80519</v>
      </c>
    </row>
    <row r="12" customFormat="false" ht="15" hidden="false" customHeight="false" outlineLevel="0" collapsed="false">
      <c r="A12" s="5" t="s">
        <v>182</v>
      </c>
      <c r="B12" s="24" t="n">
        <f aca="false">B11*(1-Assumptions!$B$36)-B7</f>
        <v>1247236.91844329</v>
      </c>
      <c r="H12" s="5" t="s">
        <v>183</v>
      </c>
      <c r="I12" s="8" t="n">
        <f aca="false">Assumptions!$B$17</f>
        <v>24000000</v>
      </c>
    </row>
    <row r="13" customFormat="false" ht="15" hidden="false" customHeight="false" outlineLevel="0" collapsed="false">
      <c r="A13" s="15" t="s">
        <v>12</v>
      </c>
      <c r="B13" s="11" t="n">
        <f aca="false">B12/B7</f>
        <v>0.0335975313560238</v>
      </c>
      <c r="H13" s="5" t="s">
        <v>24</v>
      </c>
      <c r="I13" s="14" t="n">
        <f aca="false">Timeline!B43/B7</f>
        <v>0.60365829680609</v>
      </c>
    </row>
    <row r="14" customFormat="false" ht="15" hidden="false" customHeight="false" outlineLevel="0" collapsed="false">
      <c r="A14" s="5" t="s">
        <v>184</v>
      </c>
      <c r="B14" s="24" t="n">
        <f aca="false">B7/Assumptions!$B$5</f>
        <v>309357.282143407</v>
      </c>
      <c r="H14" s="5" t="s">
        <v>185</v>
      </c>
      <c r="I14" s="7" t="n">
        <f aca="false">Timeline!T31/B7</f>
        <v>0.0713506556507116</v>
      </c>
    </row>
    <row r="15" customFormat="false" ht="15" hidden="false" customHeight="false" outlineLevel="0" collapsed="false">
      <c r="A15" s="5" t="s">
        <v>186</v>
      </c>
      <c r="B15" s="24" t="n">
        <f aca="false">B7/Assumptions!$B$7</f>
        <v>281.233892857643</v>
      </c>
      <c r="H15" s="5" t="s">
        <v>187</v>
      </c>
      <c r="I15" s="9" t="n">
        <f aca="false">(I14-B9)*10000</f>
        <v>138.506556507116</v>
      </c>
    </row>
    <row r="17" customFormat="false" ht="15" hidden="false" customHeight="false" outlineLevel="0" collapsed="false">
      <c r="A17" s="15" t="s">
        <v>188</v>
      </c>
    </row>
    <row r="18" customFormat="false" ht="15" hidden="false" customHeight="false" outlineLevel="0" collapsed="false">
      <c r="A18" s="2" t="s">
        <v>189</v>
      </c>
    </row>
    <row r="19" customFormat="false" ht="15" hidden="false" customHeight="false" outlineLevel="0" collapsed="false">
      <c r="A19" s="2" t="s">
        <v>190</v>
      </c>
      <c r="B19" s="36" t="n">
        <v>-0.1</v>
      </c>
      <c r="C19" s="36" t="n">
        <v>-0.05</v>
      </c>
      <c r="D19" s="36" t="n">
        <v>0</v>
      </c>
      <c r="E19" s="36" t="n">
        <v>0.05</v>
      </c>
      <c r="F19" s="36" t="n">
        <v>0.1</v>
      </c>
    </row>
    <row r="20" customFormat="false" ht="15" hidden="false" customHeight="false" outlineLevel="0" collapsed="false">
      <c r="A20" s="37" t="n">
        <v>0.0525</v>
      </c>
      <c r="B20" s="38" t="n">
        <f aca="false">(((Assumptions!$B$5*Assumptions!$B$25*(Assumptions!$B$23*(1+B$19)+Assumptions!$B$24)*12)*(1-Assumptions!$B$26))/$A20)*(1-Assumptions!$B$36)/$B$7-1</f>
        <v>0.0242224970580103</v>
      </c>
      <c r="C20" s="38" t="n">
        <f aca="false">(((Assumptions!$B$5*Assumptions!$B$25*(Assumptions!$B$23*(1+C$19)+Assumptions!$B$24)*12)*(1-Assumptions!$B$26))/$A20)*(1-Assumptions!$B$36)/$B$7-1</f>
        <v>0.07812894427159</v>
      </c>
      <c r="D20" s="38" t="n">
        <f aca="false">(((Assumptions!$B$5*Assumptions!$B$25*(Assumptions!$B$23*(1+D$19)+Assumptions!$B$24)*12)*(1-Assumptions!$B$26))/$A20)*(1-Assumptions!$B$36)/$B$7-1</f>
        <v>0.132035391485169</v>
      </c>
      <c r="E20" s="38" t="n">
        <f aca="false">(((Assumptions!$B$5*Assumptions!$B$25*(Assumptions!$B$23*(1+E$19)+Assumptions!$B$24)*12)*(1-Assumptions!$B$26))/$A20)*(1-Assumptions!$B$36)/$B$7-1</f>
        <v>0.185941838698749</v>
      </c>
      <c r="F20" s="38" t="n">
        <f aca="false">(((Assumptions!$B$5*Assumptions!$B$25*(Assumptions!$B$23*(1+F$19)+Assumptions!$B$24)*12)*(1-Assumptions!$B$26))/$A20)*(1-Assumptions!$B$36)/$B$7-1</f>
        <v>0.239848285912328</v>
      </c>
    </row>
    <row r="21" customFormat="false" ht="15" hidden="false" customHeight="false" outlineLevel="0" collapsed="false">
      <c r="A21" s="37" t="n">
        <v>0.055</v>
      </c>
      <c r="B21" s="38" t="n">
        <f aca="false">(((Assumptions!$B$5*Assumptions!$B$25*(Assumptions!$B$23*(1+B$19)+Assumptions!$B$24)*12)*(1-Assumptions!$B$26))/$A21)*(1-Assumptions!$B$36)/$B$7-1</f>
        <v>-0.0223330709900813</v>
      </c>
      <c r="C21" s="38" t="n">
        <f aca="false">(((Assumptions!$B$5*Assumptions!$B$25*(Assumptions!$B$23*(1+C$19)+Assumptions!$B$24)*12)*(1-Assumptions!$B$26))/$A21)*(1-Assumptions!$B$36)/$B$7-1</f>
        <v>0.0291230831683358</v>
      </c>
      <c r="D21" s="38" t="n">
        <f aca="false">(((Assumptions!$B$5*Assumptions!$B$25*(Assumptions!$B$23*(1+D$19)+Assumptions!$B$24)*12)*(1-Assumptions!$B$26))/$A21)*(1-Assumptions!$B$36)/$B$7-1</f>
        <v>0.0805792373267522</v>
      </c>
      <c r="E21" s="38" t="n">
        <f aca="false">(((Assumptions!$B$5*Assumptions!$B$25*(Assumptions!$B$23*(1+E$19)+Assumptions!$B$24)*12)*(1-Assumptions!$B$26))/$A21)*(1-Assumptions!$B$36)/$B$7-1</f>
        <v>0.132035391485169</v>
      </c>
      <c r="F21" s="38" t="n">
        <f aca="false">(((Assumptions!$B$5*Assumptions!$B$25*(Assumptions!$B$23*(1+F$19)+Assumptions!$B$24)*12)*(1-Assumptions!$B$26))/$A21)*(1-Assumptions!$B$36)/$B$7-1</f>
        <v>0.183491545643586</v>
      </c>
    </row>
    <row r="22" customFormat="false" ht="15" hidden="false" customHeight="false" outlineLevel="0" collapsed="false">
      <c r="A22" s="37" t="n">
        <v>0.0575</v>
      </c>
      <c r="B22" s="38" t="n">
        <f aca="false">(((Assumptions!$B$5*Assumptions!$B$25*(Assumptions!$B$23*(1+B$19)+Assumptions!$B$24)*12)*(1-Assumptions!$B$26))/$A22)*(1-Assumptions!$B$36)/$B$7-1</f>
        <v>-0.0648403287731212</v>
      </c>
      <c r="C22" s="38" t="n">
        <f aca="false">(((Assumptions!$B$5*Assumptions!$B$25*(Assumptions!$B$23*(1+C$19)+Assumptions!$B$24)*12)*(1-Assumptions!$B$26))/$A22)*(1-Assumptions!$B$36)/$B$7-1</f>
        <v>-0.0156213987085485</v>
      </c>
      <c r="D22" s="39" t="n">
        <f aca="false">(((Assumptions!$B$5*Assumptions!$B$25*(Assumptions!$B$23*(1+D$19)+Assumptions!$B$24)*12)*(1-Assumptions!$B$26))/$A22)*(1-Assumptions!$B$36)/$B$7-1</f>
        <v>0.0335975313560237</v>
      </c>
      <c r="E22" s="38" t="n">
        <f aca="false">(((Assumptions!$B$5*Assumptions!$B$25*(Assumptions!$B$23*(1+E$19)+Assumptions!$B$24)*12)*(1-Assumptions!$B$26))/$A22)*(1-Assumptions!$B$36)/$B$7-1</f>
        <v>0.0828164614205966</v>
      </c>
      <c r="F22" s="38" t="n">
        <f aca="false">(((Assumptions!$B$5*Assumptions!$B$25*(Assumptions!$B$23*(1+F$19)+Assumptions!$B$24)*12)*(1-Assumptions!$B$26))/$A22)*(1-Assumptions!$B$36)/$B$7-1</f>
        <v>0.132035391485169</v>
      </c>
    </row>
    <row r="23" customFormat="false" ht="15" hidden="false" customHeight="false" outlineLevel="0" collapsed="false">
      <c r="A23" s="37" t="n">
        <v>0.06</v>
      </c>
      <c r="B23" s="38" t="n">
        <f aca="false">(((Assumptions!$B$5*Assumptions!$B$25*(Assumptions!$B$23*(1+B$19)+Assumptions!$B$24)*12)*(1-Assumptions!$B$26))/$A23)*(1-Assumptions!$B$36)/$B$7-1</f>
        <v>-0.103805315074241</v>
      </c>
      <c r="C23" s="38" t="n">
        <f aca="false">(((Assumptions!$B$5*Assumptions!$B$25*(Assumptions!$B$23*(1+C$19)+Assumptions!$B$24)*12)*(1-Assumptions!$B$26))/$A23)*(1-Assumptions!$B$36)/$B$7-1</f>
        <v>-0.0566371737623589</v>
      </c>
      <c r="D23" s="38" t="n">
        <f aca="false">(((Assumptions!$B$5*Assumptions!$B$25*(Assumptions!$B$23*(1+D$19)+Assumptions!$B$24)*12)*(1-Assumptions!$B$26))/$A23)*(1-Assumptions!$B$36)/$B$7-1</f>
        <v>-0.00946903245047714</v>
      </c>
      <c r="E23" s="38" t="n">
        <f aca="false">(((Assumptions!$B$5*Assumptions!$B$25*(Assumptions!$B$23*(1+E$19)+Assumptions!$B$24)*12)*(1-Assumptions!$B$26))/$A23)*(1-Assumptions!$B$36)/$B$7-1</f>
        <v>0.0376991088614049</v>
      </c>
      <c r="F23" s="38" t="n">
        <f aca="false">(((Assumptions!$B$5*Assumptions!$B$25*(Assumptions!$B$23*(1+F$19)+Assumptions!$B$24)*12)*(1-Assumptions!$B$26))/$A23)*(1-Assumptions!$B$36)/$B$7-1</f>
        <v>0.0848672501732872</v>
      </c>
    </row>
    <row r="24" customFormat="false" ht="15" hidden="false" customHeight="false" outlineLevel="0" collapsed="false">
      <c r="A24" s="37" t="n">
        <v>0.0625</v>
      </c>
      <c r="B24" s="38" t="n">
        <f aca="false">(((Assumptions!$B$5*Assumptions!$B$25*(Assumptions!$B$23*(1+B$19)+Assumptions!$B$24)*12)*(1-Assumptions!$B$26))/$A24)*(1-Assumptions!$B$36)/$B$7-1</f>
        <v>-0.139653102471271</v>
      </c>
      <c r="C24" s="38" t="n">
        <f aca="false">(((Assumptions!$B$5*Assumptions!$B$25*(Assumptions!$B$23*(1+C$19)+Assumptions!$B$24)*12)*(1-Assumptions!$B$26))/$A24)*(1-Assumptions!$B$36)/$B$7-1</f>
        <v>-0.0943716868118646</v>
      </c>
      <c r="D24" s="38" t="n">
        <f aca="false">(((Assumptions!$B$5*Assumptions!$B$25*(Assumptions!$B$23*(1+D$19)+Assumptions!$B$24)*12)*(1-Assumptions!$B$26))/$A24)*(1-Assumptions!$B$36)/$B$7-1</f>
        <v>-0.049090271152458</v>
      </c>
      <c r="E24" s="38" t="n">
        <f aca="false">(((Assumptions!$B$5*Assumptions!$B$25*(Assumptions!$B$23*(1+E$19)+Assumptions!$B$24)*12)*(1-Assumptions!$B$26))/$A24)*(1-Assumptions!$B$36)/$B$7-1</f>
        <v>-0.0038088554930511</v>
      </c>
      <c r="F24" s="38" t="n">
        <f aca="false">(((Assumptions!$B$5*Assumptions!$B$25*(Assumptions!$B$23*(1+F$19)+Assumptions!$B$24)*12)*(1-Assumptions!$B$26))/$A24)*(1-Assumptions!$B$36)/$B$7-1</f>
        <v>0.0414725601663557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project.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6"/>
    <col collapsed="false" customWidth="true" hidden="false" outlineLevel="0" max="3" min="3" style="0" width="12"/>
  </cols>
  <sheetData>
    <row r="1" customFormat="false" ht="19.7" hidden="false" customHeight="false" outlineLevel="0" collapsed="false">
      <c r="A1" s="1" t="s">
        <v>191</v>
      </c>
    </row>
    <row r="2" customFormat="false" ht="15" hidden="false" customHeight="false" outlineLevel="0" collapsed="false">
      <c r="A2" s="2" t="s">
        <v>192</v>
      </c>
    </row>
    <row r="4" customFormat="false" ht="15" hidden="false" customHeight="false" outlineLevel="0" collapsed="false">
      <c r="A4" s="22" t="s">
        <v>193</v>
      </c>
      <c r="B4" s="23" t="s">
        <v>194</v>
      </c>
      <c r="C4" s="23" t="s">
        <v>195</v>
      </c>
    </row>
    <row r="5" customFormat="false" ht="15" hidden="false" customHeight="false" outlineLevel="0" collapsed="false">
      <c r="A5" s="5" t="s">
        <v>196</v>
      </c>
      <c r="B5" s="40" t="n">
        <f aca="false">ROUND((SUM(Timeline!B6:T6)-1)*10000,0)</f>
        <v>0</v>
      </c>
      <c r="C5" s="41" t="str">
        <f aca="false">IF(B5=0,"OK","CHECK")</f>
        <v>OK</v>
      </c>
    </row>
    <row r="6" customFormat="false" ht="15" hidden="false" customHeight="false" outlineLevel="0" collapsed="false">
      <c r="A6" s="5" t="s">
        <v>197</v>
      </c>
      <c r="B6" s="40" t="n">
        <f aca="false">ROUND((SUM(Timeline!B7:T7)-1)*10000,0)</f>
        <v>0</v>
      </c>
      <c r="C6" s="41" t="str">
        <f aca="false">IF(B6=0,"OK","CHECK")</f>
        <v>OK</v>
      </c>
    </row>
    <row r="7" customFormat="false" ht="15" hidden="false" customHeight="false" outlineLevel="0" collapsed="false">
      <c r="A7" s="5" t="s">
        <v>198</v>
      </c>
      <c r="B7" s="40" t="n">
        <f aca="false">ROUND(SUM(Timeline!B16:T16)-Budget!$B$17,0)</f>
        <v>0</v>
      </c>
      <c r="C7" s="41" t="str">
        <f aca="false">IF(B7=0,"OK","CHECK")</f>
        <v>OK</v>
      </c>
    </row>
    <row r="8" customFormat="false" ht="15" hidden="false" customHeight="false" outlineLevel="0" collapsed="false">
      <c r="A8" s="5" t="s">
        <v>199</v>
      </c>
      <c r="B8" s="40" t="n">
        <f aca="false">ROUND(Budget!B28-Assumptions!$B$20*Budget!$B$17,0)</f>
        <v>0</v>
      </c>
      <c r="C8" s="41" t="str">
        <f aca="false">IF(B8=0,"OK","CHECK")</f>
        <v>OK</v>
      </c>
    </row>
    <row r="9" customFormat="false" ht="15" hidden="false" customHeight="false" outlineLevel="0" collapsed="false">
      <c r="A9" s="5" t="s">
        <v>200</v>
      </c>
      <c r="B9" s="40" t="n">
        <f aca="false">ROUND(Budget!B28+Budget!B29-Budget!$B$17,0)</f>
        <v>0</v>
      </c>
      <c r="C9" s="41" t="str">
        <f aca="false">IF(B9=0,"OK","CHECK")</f>
        <v>OK</v>
      </c>
    </row>
    <row r="10" customFormat="false" ht="15" hidden="false" customHeight="false" outlineLevel="0" collapsed="false">
      <c r="A10" s="5" t="s">
        <v>201</v>
      </c>
      <c r="B10" s="40" t="n">
        <f aca="false">IF(Timeline!B43&lt;=Assumptions!$B$17,0,1)</f>
        <v>0</v>
      </c>
      <c r="C10" s="41" t="str">
        <f aca="false">IF(B10=0,"OK","CHECK")</f>
        <v>OK</v>
      </c>
    </row>
    <row r="11" customFormat="false" ht="15" hidden="false" customHeight="false" outlineLevel="0" collapsed="false">
      <c r="A11" s="5" t="s">
        <v>202</v>
      </c>
      <c r="B11" s="40" t="n">
        <f aca="false">ROUND(Timeline!T28+Timeline!T34,0)</f>
        <v>0</v>
      </c>
      <c r="C11" s="41" t="str">
        <f aca="false">IF(B11=0,"OK","CHECK")</f>
        <v>OK</v>
      </c>
    </row>
    <row r="12" customFormat="false" ht="15" hidden="false" customHeight="false" outlineLevel="0" collapsed="false">
      <c r="A12" s="5" t="s">
        <v>203</v>
      </c>
      <c r="B12" s="40" t="n">
        <f aca="false">ROUND(Budget!B31-Budget!B25,0)</f>
        <v>0</v>
      </c>
      <c r="C12" s="41" t="str">
        <f aca="false">IF(B12=0,"OK","CHECK")</f>
        <v>OK</v>
      </c>
    </row>
    <row r="14" customFormat="false" ht="15" hidden="false" customHeight="false" outlineLevel="0" collapsed="false">
      <c r="A14" s="42" t="s">
        <v>204</v>
      </c>
      <c r="B14" s="43" t="str">
        <f aca="false">IF(COUNTIF(C5:C12,"OK")=8,"ALL CHECKS PASS","REVIEW CHECKS")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project.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2026-10-23T19:45:12Z</dcterms:created>
  <dc:creator>openpyxl</dc:creator>
  <dc:description/>
  <dc:language>en-US</dc:language>
  <cp:lastModifiedBy/>
  <dcterms:modified xsi:type="dcterms:W3CDTF">2026-10-23T19:45:12Z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