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Rent Roll" sheetId="3" state="visible" r:id="rId5"/>
    <sheet name="Operating" sheetId="4" state="visible" r:id="rId6"/>
    <sheet name="Debt" sheetId="5" state="visible" r:id="rId7"/>
    <sheet name="Cash Flow" sheetId="6" state="visible" r:id="rId8"/>
    <sheet name="Waterfall" sheetId="7" state="visible" r:id="rId9"/>
    <sheet name="Sensitivity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<sst xmlns="http://schemas.openxmlformats.org/spreadsheetml/2006/main" count="349" uniqueCount="259">
  <si>
    <t xml:space="preserve">AA Deal Desk | Sample Underwriting Summary</t>
  </si>
  <si>
    <t xml:space="preserve">48-unit multifamily acquisition. Illustrative figures for a sample deal. Change inputs on the Assumptions sheet.</t>
  </si>
  <si>
    <t xml:space="preserve">Deal</t>
  </si>
  <si>
    <t xml:space="preserve">Returns</t>
  </si>
  <si>
    <t xml:space="preserve">Asset</t>
  </si>
  <si>
    <t xml:space="preserve">48-unit multifamily</t>
  </si>
  <si>
    <t xml:space="preserve">Scenario in use</t>
  </si>
  <si>
    <t xml:space="preserve">Purchase price</t>
  </si>
  <si>
    <t xml:space="preserve">Exit cap rate</t>
  </si>
  <si>
    <t xml:space="preserve">Price per unit</t>
  </si>
  <si>
    <t xml:space="preserve">Annual NOI growth</t>
  </si>
  <si>
    <t xml:space="preserve">In-place NOI</t>
  </si>
  <si>
    <t xml:space="preserve">Levered IRR, 5-year</t>
  </si>
  <si>
    <t xml:space="preserve">Going-in cap rate</t>
  </si>
  <si>
    <t xml:space="preserve">Equity multiple</t>
  </si>
  <si>
    <t xml:space="preserve">Operating expense ratio</t>
  </si>
  <si>
    <t xml:space="preserve">Average cash-on-cash</t>
  </si>
  <si>
    <t xml:space="preserve">Loan amount</t>
  </si>
  <si>
    <t xml:space="preserve">Total profit to equity</t>
  </si>
  <si>
    <t xml:space="preserve">Loan terms</t>
  </si>
  <si>
    <t xml:space="preserve">LP net IRR (after promote)</t>
  </si>
  <si>
    <t xml:space="preserve">DSCR (in-place)</t>
  </si>
  <si>
    <t xml:space="preserve">LP equity multiple</t>
  </si>
  <si>
    <t xml:space="preserve">Equity required</t>
  </si>
  <si>
    <t xml:space="preserve">GP promote earned</t>
  </si>
  <si>
    <t xml:space="preserve">How to read this workbook</t>
  </si>
  <si>
    <t xml:space="preserve">Assumptions: price, financing, scenario toggle and waterfall tiers (blue cells are inputs).</t>
  </si>
  <si>
    <t xml:space="preserve">Rent Roll and Operating: unit rents flow down to net operating income.</t>
  </si>
  <si>
    <t xml:space="preserve">Debt, Cash Flow, Waterfall: loan schedule, 5-year returns, and the LP / GP split.</t>
  </si>
  <si>
    <t xml:space="preserve">Sensitivity: how IRR and the equity multiple move with exit cap rate and NOI growth.</t>
  </si>
  <si>
    <t xml:space="preserve">Sample deal for demonstration. Prepared by AA Deal Desk. aadealdesk.online</t>
  </si>
  <si>
    <t xml:space="preserve">Model checks</t>
  </si>
  <si>
    <t xml:space="preserve">Assumptions</t>
  </si>
  <si>
    <t xml:space="preserve">AA Deal Desk | Sample 48-unit multifamily acquisition. Blue = input you can change. Black = formula. Green = link to another sheet.</t>
  </si>
  <si>
    <t xml:space="preserve">Purchase and financing</t>
  </si>
  <si>
    <t xml:space="preserve">Purchase price ($)</t>
  </si>
  <si>
    <t xml:space="preserve">Illustrative asking price for the sample deal.</t>
  </si>
  <si>
    <t xml:space="preserve">Closing costs (% of price)</t>
  </si>
  <si>
    <t xml:space="preserve">Acquisition fees, legal, title and lender costs, simplified to one rate.</t>
  </si>
  <si>
    <t xml:space="preserve">Loan-to-value</t>
  </si>
  <si>
    <t xml:space="preserve">Senior loan as a share of purchase price.</t>
  </si>
  <si>
    <t xml:space="preserve">Interest rate (fixed)</t>
  </si>
  <si>
    <t xml:space="preserve">Illustrative agency-style fixed rate.</t>
  </si>
  <si>
    <t xml:space="preserve">Amortization (years)</t>
  </si>
  <si>
    <t xml:space="preserve">Monthly payments, fully amortizing schedule.</t>
  </si>
  <si>
    <t xml:space="preserve">Hold period (years)</t>
  </si>
  <si>
    <t xml:space="preserve">Fixed at 5 years. The cash flow sheet is laid out for a 5-year hold.</t>
  </si>
  <si>
    <t xml:space="preserve">Sale costs (% of sale price)</t>
  </si>
  <si>
    <t xml:space="preserve">Broker and closing costs at exit.</t>
  </si>
  <si>
    <t xml:space="preserve">Replacement reserves ($ per unit per year)</t>
  </si>
  <si>
    <t xml:space="preserve">Set to 0 so returns match the website sample. Try 250 to see the effect.</t>
  </si>
  <si>
    <t xml:space="preserve">Scenario toggle (changes exit cap rate and NOI growth)</t>
  </si>
  <si>
    <t xml:space="preserve">Selected scenario (1 = Downside, 2 = Base, 3 = Upside)</t>
  </si>
  <si>
    <t xml:space="preserve">Change this number and every sheet updates.</t>
  </si>
  <si>
    <t xml:space="preserve">Case</t>
  </si>
  <si>
    <t xml:space="preserve">1  Downside</t>
  </si>
  <si>
    <t xml:space="preserve">2  Base</t>
  </si>
  <si>
    <t xml:space="preserve">3  Upside</t>
  </si>
  <si>
    <t xml:space="preserve">Exit cap rate in use</t>
  </si>
  <si>
    <t xml:space="preserve">NOI growth in use</t>
  </si>
  <si>
    <t xml:space="preserve">NOI grows at this rate each year from the in-place figure (simplified, no line-by-line rent growth).</t>
  </si>
  <si>
    <t xml:space="preserve">Equity waterfall (investors = LP, sponsor = GP)</t>
  </si>
  <si>
    <t xml:space="preserve">Tier 1 hurdle: LP IRR (100% to LP until reached)</t>
  </si>
  <si>
    <t xml:space="preserve">Return of capital plus preferred return.</t>
  </si>
  <si>
    <t xml:space="preserve">Tier 2 hurdle: LP IRR</t>
  </si>
  <si>
    <t xml:space="preserve">Tier 3 hurdle: LP IRR</t>
  </si>
  <si>
    <t xml:space="preserve">Tier 2 split: share to LP</t>
  </si>
  <si>
    <t xml:space="preserve">GP receives the remainder as promote.</t>
  </si>
  <si>
    <t xml:space="preserve">Tier 3 split: share to LP</t>
  </si>
  <si>
    <t xml:space="preserve">Tier 4 split: share to LP (above Tier 3 hurdle)</t>
  </si>
  <si>
    <t xml:space="preserve">Notes</t>
  </si>
  <si>
    <t xml:space="preserve">All figures are illustrative and invented for this sample. This is not a real property or an offer.</t>
  </si>
  <si>
    <t xml:space="preserve">Operating figures are on the Operating sheet (blue cells). Rents are on the Rent Roll sheet.</t>
  </si>
  <si>
    <t xml:space="preserve">Returns are before income tax and before any GP co-investment. Waterfall assumes all equity comes from LP.</t>
  </si>
  <si>
    <t xml:space="preserve">Rent Roll</t>
  </si>
  <si>
    <t xml:space="preserve">AA Deal Desk | In-place rents for the sample 48-unit property (invented figures).</t>
  </si>
  <si>
    <t xml:space="preserve">Unit</t>
  </si>
  <si>
    <t xml:space="preserve">Type</t>
  </si>
  <si>
    <t xml:space="preserve">Beds</t>
  </si>
  <si>
    <t xml:space="preserve">Sq ft</t>
  </si>
  <si>
    <t xml:space="preserve">Monthly rent</t>
  </si>
  <si>
    <t xml:space="preserve">Annual rent</t>
  </si>
  <si>
    <t xml:space="preserve">Rent per sq ft (annual)</t>
  </si>
  <si>
    <t xml:space="preserve">101</t>
  </si>
  <si>
    <t xml:space="preserve">2BR</t>
  </si>
  <si>
    <t xml:space="preserve">102</t>
  </si>
  <si>
    <t xml:space="preserve">1BR</t>
  </si>
  <si>
    <t xml:space="preserve">103</t>
  </si>
  <si>
    <t xml:space="preserve">104</t>
  </si>
  <si>
    <t xml:space="preserve">105</t>
  </si>
  <si>
    <t xml:space="preserve">3BR</t>
  </si>
  <si>
    <t xml:space="preserve">106</t>
  </si>
  <si>
    <t xml:space="preserve">107</t>
  </si>
  <si>
    <t xml:space="preserve">108</t>
  </si>
  <si>
    <t xml:space="preserve">109</t>
  </si>
  <si>
    <t xml:space="preserve">110</t>
  </si>
  <si>
    <t xml:space="preserve">111</t>
  </si>
  <si>
    <t xml:space="preserve">112</t>
  </si>
  <si>
    <t xml:space="preserve">113</t>
  </si>
  <si>
    <t xml:space="preserve">114</t>
  </si>
  <si>
    <t xml:space="preserve">115</t>
  </si>
  <si>
    <t xml:space="preserve">116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</si>
  <si>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</si>
  <si>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</si>
  <si>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</si>
  <si>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</si>
  <si>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</si>
  <si>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</si>
  <si>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</si>
  <si>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</si>
  <si>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</si>
  <si>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</si>
  <si>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</si>
  <si>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</si>
  <si>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</si>
  <si>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214</t>
  </si>
  <si>
    <t xml:space="preserve">215</t>
  </si>
  <si>
    <t xml:space="preserve">216</t>
  </si>
  <si>
    <t xml:space="preserve">301</t>
  </si>
  <si>
    <t xml:space="preserve">302</t>
  </si>
  <si>
    <t xml:space="preserve">303</t>
  </si>
  <si>
    <t xml:space="preserve">304</t>
  </si>
  <si>
    <t xml:space="preserve">305</t>
  </si>
  <si>
    <t xml:space="preserve">306</t>
  </si>
  <si>
    <t xml:space="preserve">307</t>
  </si>
  <si>
    <t xml:space="preserve">308</t>
  </si>
  <si>
    <t xml:space="preserve">309</t>
  </si>
  <si>
    <t xml:space="preserve">310</t>
  </si>
  <si>
    <t xml:space="preserve">311</t>
  </si>
  <si>
    <t xml:space="preserve">312</t>
  </si>
  <si>
    <t xml:space="preserve">313</t>
  </si>
  <si>
    <t xml:space="preserve">314</t>
  </si>
  <si>
    <t xml:space="preserve">315</t>
  </si>
  <si>
    <t xml:space="preserve">316</t>
  </si>
  <si>
    <t xml:space="preserve">Total / average</t>
  </si>
  <si>
    <t xml:space="preserve">Unit count (C column of total row) feeds the Operating sheet. Edit any blue cell and the model recalculates.</t>
  </si>
  <si>
    <t xml:space="preserve">Operating Statement (in-place, annual)</t>
  </si>
  <si>
    <t xml:space="preserve">AA Deal Desk | Gross rent flows down to net operating income (NOI). Blue cells are inputs.</t>
  </si>
  <si>
    <t xml:space="preserve">Line item</t>
  </si>
  <si>
    <t xml:space="preserve">Annual ($)</t>
  </si>
  <si>
    <t xml:space="preserve">$ per unit</t>
  </si>
  <si>
    <t xml:space="preserve">% of EGI</t>
  </si>
  <si>
    <t xml:space="preserve">Basis</t>
  </si>
  <si>
    <t xml:space="preserve">Gross potential rent</t>
  </si>
  <si>
    <t xml:space="preserve">Sum of the Rent Roll sheet.</t>
  </si>
  <si>
    <t xml:space="preserve">Vacancy and credit loss rate</t>
  </si>
  <si>
    <t xml:space="preserve">Input.</t>
  </si>
  <si>
    <t xml:space="preserve">Less: vacancy and credit loss</t>
  </si>
  <si>
    <t xml:space="preserve">Other income per unit per month ($)</t>
  </si>
  <si>
    <t xml:space="preserve">Input. Laundry, parking, pet fees and similar.</t>
  </si>
  <si>
    <t xml:space="preserve">Plus: other income</t>
  </si>
  <si>
    <t xml:space="preserve">Effective gross income (EGI)</t>
  </si>
  <si>
    <t xml:space="preserve">Operating expenses</t>
  </si>
  <si>
    <t xml:space="preserve">Property taxes</t>
  </si>
  <si>
    <t xml:space="preserve">Input (annual $).</t>
  </si>
  <si>
    <t xml:space="preserve">Insurance</t>
  </si>
  <si>
    <t xml:space="preserve">Utilities (common area and water/sewer)</t>
  </si>
  <si>
    <t xml:space="preserve">Repairs and maintenance</t>
  </si>
  <si>
    <t xml:space="preserve">Payroll (on-site)</t>
  </si>
  <si>
    <t xml:space="preserve">Marketing and administrative</t>
  </si>
  <si>
    <t xml:space="preserve">Contract services</t>
  </si>
  <si>
    <t xml:space="preserve">Management fee (4% of EGI)</t>
  </si>
  <si>
    <t xml:space="preserve">Formula: 4% of EGI, rounded to the dollar.</t>
  </si>
  <si>
    <t xml:space="preserve">Turnover and make-ready</t>
  </si>
  <si>
    <t xml:space="preserve">Input. Set so the in-place NOI ties to the website sample.</t>
  </si>
  <si>
    <t xml:space="preserve">Total operating expenses</t>
  </si>
  <si>
    <t xml:space="preserve">Net operating income (NOI)</t>
  </si>
  <si>
    <t xml:space="preserve">Cap rate (NOI / purchase price)</t>
  </si>
  <si>
    <t xml:space="preserve">Operating expense ratio (opex / EGI)</t>
  </si>
  <si>
    <t xml:space="preserve">Debt</t>
  </si>
  <si>
    <t xml:space="preserve">AA Deal Desk | Senior loan sizing, payment and amortization.</t>
  </si>
  <si>
    <t xml:space="preserve">Interest rate</t>
  </si>
  <si>
    <t xml:space="preserve">Monthly payment</t>
  </si>
  <si>
    <t xml:space="preserve">Annual debt service</t>
  </si>
  <si>
    <t xml:space="preserve">Loan balance at end of Year 5</t>
  </si>
  <si>
    <t xml:space="preserve">DSCR (in-place NOI / annual debt service)</t>
  </si>
  <si>
    <t xml:space="preserve">Debt yield (in-place NOI / loan)</t>
  </si>
  <si>
    <t xml:space="preserve">Year</t>
  </si>
  <si>
    <t xml:space="preserve">Interest</t>
  </si>
  <si>
    <t xml:space="preserve">Principal</t>
  </si>
  <si>
    <t xml:space="preserve">Total payments</t>
  </si>
  <si>
    <t xml:space="preserve">Ending balance</t>
  </si>
  <si>
    <t xml:space="preserve">DSCR</t>
  </si>
  <si>
    <t xml:space="preserve">Check: Year 5 ending balance ties to the balance above</t>
  </si>
  <si>
    <t xml:space="preserve">Cash Flow and Returns</t>
  </si>
  <si>
    <t xml:space="preserve">AA Deal Desk | 5-year hold. Year 0 is the purchase. Year 6 NOI is used only to value the sale at the end of Year 5.</t>
  </si>
  <si>
    <t xml:space="preserve">($)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</si>
  <si>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</si>
  <si>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</si>
  <si>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</si>
  <si>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</si>
  <si>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</si>
  <si>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</si>
  <si>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</si>
  <si>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index</t>
  </si>
  <si>
    <t xml:space="preserve">Net operating income</t>
  </si>
  <si>
    <t xml:space="preserve">Less: replacement reserves</t>
  </si>
  <si>
    <t xml:space="preserve">Less: debt service</t>
  </si>
  <si>
    <t xml:space="preserve">Cash flow after debt service</t>
  </si>
  <si>
    <t xml:space="preserve">Sale at end of Year 5</t>
  </si>
  <si>
    <t xml:space="preserve">Exit NOI (Year 6)</t>
  </si>
  <si>
    <t xml:space="preserve">Gross sale price</t>
  </si>
  <si>
    <t xml:space="preserve">Less: sale costs</t>
  </si>
  <si>
    <t xml:space="preserve">Less: loan payoff</t>
  </si>
  <si>
    <t xml:space="preserve">Net sale proceeds</t>
  </si>
  <si>
    <t xml:space="preserve">Equity cash flows</t>
  </si>
  <si>
    <t xml:space="preserve">Equity invested (price + closing costs - loan)</t>
  </si>
  <si>
    <t xml:space="preserve">Levered cash flow to equity</t>
  </si>
  <si>
    <t xml:space="preserve">Levered IRR (5-year)</t>
  </si>
  <si>
    <t xml:space="preserve">Average cash-on-cash return (before sale)</t>
  </si>
  <si>
    <t xml:space="preserve">Equity invested</t>
  </si>
  <si>
    <t xml:space="preserve">Equity Waterfall (LP and GP)</t>
  </si>
  <si>
    <t xml:space="preserve">AA Deal Desk | Distributions split by LP IRR hurdles. Tier settings are on the Assumptions sheet.</t>
  </si>
  <si>
    <t xml:space="preserve">Equity contributed by LP</t>
  </si>
  <si>
    <t xml:space="preserve">Cash available for distribution</t>
  </si>
  <si>
    <t xml:space="preserve">Tier 1: 100% to LP until LP earns the Tier 1 hurdle IRR</t>
  </si>
  <si>
    <t xml:space="preserve">Beginning balance</t>
  </si>
  <si>
    <t xml:space="preserve">Accrual at hurdle rate</t>
  </si>
  <si>
    <t xml:space="preserve">Contributions</t>
  </si>
  <si>
    <t xml:space="preserve">Tier 1 distribution</t>
  </si>
  <si>
    <t xml:space="preserve">Tier 2: split with GP until LP earns the Tier 2 hurdle IRR</t>
  </si>
  <si>
    <t xml:space="preserve">Balance before Tier 2 distribution</t>
  </si>
  <si>
    <t xml:space="preserve">Tier 2 distribution (total)</t>
  </si>
  <si>
    <t xml:space="preserve">Tier 3: split with GP until LP earns the Tier 3 hurdle IRR</t>
  </si>
  <si>
    <t xml:space="preserve">Balance before Tier 3 distribution</t>
  </si>
  <si>
    <t xml:space="preserve">Tier 3 distribution (total)</t>
  </si>
  <si>
    <t xml:space="preserve">Tier 4: remaining cash</t>
  </si>
  <si>
    <t xml:space="preserve">Tier 4 distribution (total)</t>
  </si>
  <si>
    <t xml:space="preserve">Summary by partner</t>
  </si>
  <si>
    <t xml:space="preserve">LP distributions</t>
  </si>
  <si>
    <t xml:space="preserve">GP distributions (promote)</t>
  </si>
  <si>
    <t xml:space="preserve">LP net cash flow</t>
  </si>
  <si>
    <t xml:space="preserve">LP net IRR</t>
  </si>
  <si>
    <t xml:space="preserve">Total GP promote earned</t>
  </si>
  <si>
    <t xml:space="preserve">Project IRR before promote (for comparison)</t>
  </si>
  <si>
    <t xml:space="preserve">Check: LP + GP equals cash available (should be 0)</t>
  </si>
  <si>
    <t xml:space="preserve">Sensitivity</t>
  </si>
  <si>
    <t xml:space="preserve">AA Deal Desk | Levered IRR and equity multiple as exit cap rate and NOI growth change. Axis values (blue) can be edited.</t>
  </si>
  <si>
    <t xml:space="preserve">Exit cap (down) / NOI growth (across)</t>
  </si>
  <si>
    <t xml:space="preserve">Highlighted cell is the base case (6.9% exit cap, 3% NOI growth).</t>
  </si>
  <si>
    <t xml:space="preserve">Helper table (feeds the grids)</t>
  </si>
  <si>
    <t xml:space="preserve">Exit cap</t>
  </si>
  <si>
    <t xml:space="preserve">NOI growth</t>
  </si>
  <si>
    <t xml:space="preserve">IRR</t>
  </si>
  <si>
    <t xml:space="preserve">Multiple</t>
  </si>
  <si>
    <t xml:space="preserve">Model Checks</t>
  </si>
  <si>
    <t xml:space="preserve">AA Deal Desk | Every check should show OK. A failed check means a number on another sheet does not tie.</t>
  </si>
  <si>
    <t xml:space="preserve">Check</t>
  </si>
  <si>
    <t xml:space="preserve">Difference</t>
  </si>
  <si>
    <t xml:space="preserve">Status</t>
  </si>
  <si>
    <t xml:space="preserve">Sources equal uses (equity + loan = price + closing costs)</t>
  </si>
  <si>
    <t xml:space="preserve">Rent roll has 48 units</t>
  </si>
  <si>
    <t xml:space="preserve">Operating NOI ties to Cash Flow year 0</t>
  </si>
  <si>
    <t xml:space="preserve">Year 5 loan balance ties to amortization table</t>
  </si>
  <si>
    <t xml:space="preserve">Waterfall: LP + GP distributions equal cash available</t>
  </si>
  <si>
    <t xml:space="preserve">Waterfall: LP and GP receive no more than project cash</t>
  </si>
  <si>
    <t xml:space="preserve">Sensitivity base case ties to Cash Flow IRR (when Base scenario is selected)</t>
  </si>
  <si>
    <t xml:space="preserve">DSCR is above 1.20x</t>
  </si>
  <si>
    <t xml:space="preserve">Overall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</si>
</sst>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0.00\x"/>
    <numFmt numFmtId="168" formatCode="0.00%"/>
    <numFmt numFmtId="169" formatCode="0"/>
    <numFmt numFmtId="170" formatCode="#,##0;\(#,##0\);\-"/>
    <numFmt numFmtId="171" formatCode="\$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3EE"/>
        <bgColor rgb="FFF4F1E8"/>
      </patternFill>
    </fill>
    <fill>
      <patternFill patternType="solid">
        <fgColor rgb="FFFFF4C2"/>
        <bgColor rgb="FFF4F1E8"/>
      </patternFill>
    </fill>
    <fill>
      <patternFill patternType="solid">
        <fgColor rgb="FF0B1A2E"/>
        <bgColor rgb="FF000000"/>
      </patternFill>
    </fill>
    <fill>
      <patternFill patternType="solid">
        <fgColor rgb="FFF4F1E8"/>
        <bgColor rgb="FFFFF4C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0B1A2E"/>
      </top>
      <bottom/>
      <diagonal/>
    </border>
    <border diagonalUp="false" diagonalDown="false"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8B8"/>
      <rgbColor rgb="FF808080"/>
      <rgbColor rgb="FF9999FF"/>
      <rgbColor rgb="FF993366"/>
      <rgbColor rgb="FFFFF4C2"/>
      <rgbColor rgb="FFF4F1E8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A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"/>
    <col collapsed="false" customWidth="true" hidden="false" outlineLevel="0" max="4" min="4" style="0" width="40"/>
    <col collapsed="false" customWidth="true" hidden="false" outlineLevel="0" max="5" min="5" style="0" width="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</row>
    <row r="5" customFormat="false" ht="15" hidden="false" customHeight="false" outlineLevel="0" collapsed="false">
      <c r="A5" s="5" t="s">
        <v>4</v>
      </c>
      <c r="B5" s="6" t="s">
        <v>5</v>
      </c>
      <c r="D5" s="5" t="s">
        <v>6</v>
      </c>
      <c r="E5" s="7" t="str">
        <f aca="false">CHOOSE(Assumptions!B15,"Downside","Base","Upside")</f>
        <v>Base</v>
      </c>
    </row>
    <row r="6" customFormat="false" ht="15" hidden="false" customHeight="false" outlineLevel="0" collapsed="false">
      <c r="A6" s="5" t="s">
        <v>7</v>
      </c>
      <c r="B6" s="8" t="n">
        <f aca="false">Assumptions!B5</f>
        <v>6240000</v>
      </c>
      <c r="D6" s="5" t="s">
        <v>8</v>
      </c>
      <c r="E6" s="9" t="n">
        <f aca="false">Assumptions!B22</f>
        <v>0.069</v>
      </c>
    </row>
    <row r="7" customFormat="false" ht="15" hidden="false" customHeight="false" outlineLevel="0" collapsed="false">
      <c r="A7" s="5" t="s">
        <v>9</v>
      </c>
      <c r="B7" s="10" t="n">
        <f aca="false">Assumptions!B5/'Rent Roll'!$C$53</f>
        <v>130000</v>
      </c>
      <c r="D7" s="5" t="s">
        <v>10</v>
      </c>
      <c r="E7" s="9" t="n">
        <f aca="false">Assumptions!B23</f>
        <v>0.03</v>
      </c>
    </row>
    <row r="8" customFormat="false" ht="15" hidden="false" customHeight="false" outlineLevel="0" collapsed="false">
      <c r="A8" s="5" t="s">
        <v>11</v>
      </c>
      <c r="B8" s="8" t="n">
        <f aca="false">Operating!$B$24</f>
        <v>412300.2</v>
      </c>
      <c r="D8" s="5" t="s">
        <v>12</v>
      </c>
      <c r="E8" s="11" t="n">
        <f aca="false">'Cash Flow'!C26</f>
        <v>0.121065243133482</v>
      </c>
    </row>
    <row r="9" customFormat="false" ht="15" hidden="false" customHeight="false" outlineLevel="0" collapsed="false">
      <c r="A9" s="5" t="s">
        <v>13</v>
      </c>
      <c r="B9" s="9" t="n">
        <f aca="false">Operating!$B$26</f>
        <v>0.06607375</v>
      </c>
      <c r="D9" s="5" t="s">
        <v>14</v>
      </c>
      <c r="E9" s="12" t="n">
        <f aca="false">'Cash Flow'!C27</f>
        <v>1.69428494940819</v>
      </c>
    </row>
    <row r="10" customFormat="false" ht="15" hidden="false" customHeight="false" outlineLevel="0" collapsed="false">
      <c r="A10" s="5" t="s">
        <v>15</v>
      </c>
      <c r="B10" s="9" t="n">
        <f aca="false">Operating!$B$28</f>
        <v>0.475201467551352</v>
      </c>
      <c r="D10" s="5" t="s">
        <v>16</v>
      </c>
      <c r="E10" s="9" t="n">
        <f aca="false">'Cash Flow'!C28</f>
        <v>0.0620604423948709</v>
      </c>
    </row>
    <row r="11" customFormat="false" ht="15" hidden="false" customHeight="false" outlineLevel="0" collapsed="false">
      <c r="A11" s="5" t="s">
        <v>17</v>
      </c>
      <c r="B11" s="8" t="n">
        <f aca="false">Debt!B6</f>
        <v>4056000</v>
      </c>
      <c r="D11" s="5" t="s">
        <v>18</v>
      </c>
      <c r="E11" s="8" t="n">
        <f aca="false">'Cash Flow'!C29</f>
        <v>1602965.09119363</v>
      </c>
    </row>
    <row r="12" customFormat="false" ht="15" hidden="false" customHeight="false" outlineLevel="0" collapsed="false">
      <c r="A12" s="5" t="s">
        <v>19</v>
      </c>
      <c r="B12" s="6" t="str">
        <f aca="false">TEXT(Assumptions!B7,"0%")&amp;" LTV, "&amp;TEXT(Assumptions!B8,"0.0%")&amp;", "&amp;Assumptions!B9&amp;"-yr"</f>
        <v>65% LTV, 6.5%, 30-yr</v>
      </c>
      <c r="D12" s="5" t="s">
        <v>20</v>
      </c>
      <c r="E12" s="9" t="n">
        <f aca="false">Waterfall!C39</f>
        <v>0.117235218974694</v>
      </c>
    </row>
    <row r="13" customFormat="false" ht="15" hidden="false" customHeight="false" outlineLevel="0" collapsed="false">
      <c r="A13" s="5" t="s">
        <v>21</v>
      </c>
      <c r="B13" s="13" t="n">
        <f aca="false">Debt!B12</f>
        <v>1.34020283812663</v>
      </c>
      <c r="D13" s="5" t="s">
        <v>22</v>
      </c>
      <c r="E13" s="13" t="n">
        <f aca="false">Waterfall!C40</f>
        <v>1.66693046085389</v>
      </c>
    </row>
    <row r="14" customFormat="false" ht="15" hidden="false" customHeight="false" outlineLevel="0" collapsed="false">
      <c r="A14" s="5" t="s">
        <v>23</v>
      </c>
      <c r="B14" s="8" t="n">
        <f aca="false">'Cash Flow'!C30</f>
        <v>2308800</v>
      </c>
      <c r="D14" s="5" t="s">
        <v>24</v>
      </c>
      <c r="E14" s="8" t="n">
        <f aca="false">Waterfall!C41</f>
        <v>63156.0431741654</v>
      </c>
    </row>
    <row r="17" customFormat="false" ht="15" hidden="false" customHeight="false" outlineLevel="0" collapsed="false">
      <c r="A17" s="3" t="s">
        <v>25</v>
      </c>
      <c r="B17" s="4"/>
      <c r="C17" s="4"/>
      <c r="D17" s="4"/>
      <c r="E17" s="4"/>
    </row>
    <row r="18" customFormat="false" ht="15" hidden="false" customHeight="false" outlineLevel="0" collapsed="false">
      <c r="A18" s="5" t="s">
        <v>26</v>
      </c>
    </row>
    <row r="19" customFormat="false" ht="15" hidden="false" customHeight="false" outlineLevel="0" collapsed="false">
      <c r="A19" s="5" t="s">
        <v>27</v>
      </c>
    </row>
    <row r="20" customFormat="false" ht="15" hidden="false" customHeight="false" outlineLevel="0" collapsed="false">
      <c r="A20" s="5" t="s">
        <v>28</v>
      </c>
    </row>
    <row r="21" customFormat="false" ht="15" hidden="false" customHeight="false" outlineLevel="0" collapsed="false">
      <c r="A21" s="5" t="s">
        <v>29</v>
      </c>
    </row>
    <row r="22" customFormat="false" ht="15" hidden="false" customHeight="false" outlineLevel="0" collapsed="false">
      <c r="A22" s="2" t="s">
        <v>30</v>
      </c>
    </row>
    <row r="23" customFormat="false" ht="15" hidden="false" customHeight="false" outlineLevel="0" collapsed="false">
      <c r="A23" s="14" t="s">
        <v>31</v>
      </c>
      <c r="B23" s="7" t="str">
        <f aca="false">Checks!B14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62"/>
  </cols>
  <sheetData>
    <row r="1" customFormat="false" ht="19.7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15" hidden="false" customHeight="false" outlineLevel="0" collapsed="false">
      <c r="A4" s="3" t="s">
        <v>34</v>
      </c>
      <c r="B4" s="4"/>
      <c r="C4" s="4"/>
    </row>
    <row r="5" customFormat="false" ht="15" hidden="false" customHeight="false" outlineLevel="0" collapsed="false">
      <c r="A5" s="5" t="s">
        <v>35</v>
      </c>
      <c r="B5" s="15" t="n">
        <v>6240000</v>
      </c>
      <c r="C5" s="2" t="s">
        <v>36</v>
      </c>
    </row>
    <row r="6" customFormat="false" ht="15" hidden="false" customHeight="false" outlineLevel="0" collapsed="false">
      <c r="A6" s="5" t="s">
        <v>37</v>
      </c>
      <c r="B6" s="16" t="n">
        <v>0.02</v>
      </c>
      <c r="C6" s="2" t="s">
        <v>38</v>
      </c>
    </row>
    <row r="7" customFormat="false" ht="15" hidden="false" customHeight="false" outlineLevel="0" collapsed="false">
      <c r="A7" s="5" t="s">
        <v>39</v>
      </c>
      <c r="B7" s="16" t="n">
        <v>0.65</v>
      </c>
      <c r="C7" s="2" t="s">
        <v>40</v>
      </c>
    </row>
    <row r="8" customFormat="false" ht="15" hidden="false" customHeight="false" outlineLevel="0" collapsed="false">
      <c r="A8" s="5" t="s">
        <v>41</v>
      </c>
      <c r="B8" s="17" t="n">
        <v>0.065</v>
      </c>
      <c r="C8" s="2" t="s">
        <v>42</v>
      </c>
    </row>
    <row r="9" customFormat="false" ht="15" hidden="false" customHeight="false" outlineLevel="0" collapsed="false">
      <c r="A9" s="5" t="s">
        <v>43</v>
      </c>
      <c r="B9" s="18" t="n">
        <v>30</v>
      </c>
      <c r="C9" s="2" t="s">
        <v>44</v>
      </c>
    </row>
    <row r="10" customFormat="false" ht="15" hidden="false" customHeight="false" outlineLevel="0" collapsed="false">
      <c r="A10" s="5" t="s">
        <v>45</v>
      </c>
      <c r="B10" s="18" t="n">
        <v>5</v>
      </c>
      <c r="C10" s="2" t="s">
        <v>46</v>
      </c>
    </row>
    <row r="11" customFormat="false" ht="15" hidden="false" customHeight="false" outlineLevel="0" collapsed="false">
      <c r="A11" s="5" t="s">
        <v>47</v>
      </c>
      <c r="B11" s="16" t="n">
        <v>0.02</v>
      </c>
      <c r="C11" s="2" t="s">
        <v>48</v>
      </c>
    </row>
    <row r="12" customFormat="false" ht="15" hidden="false" customHeight="false" outlineLevel="0" collapsed="false">
      <c r="A12" s="5" t="s">
        <v>49</v>
      </c>
      <c r="B12" s="15" t="n">
        <v>0</v>
      </c>
      <c r="C12" s="2" t="s">
        <v>50</v>
      </c>
    </row>
    <row r="14" customFormat="false" ht="15" hidden="false" customHeight="false" outlineLevel="0" collapsed="false">
      <c r="A14" s="3" t="s">
        <v>51</v>
      </c>
      <c r="B14" s="4"/>
      <c r="C14" s="4"/>
    </row>
    <row r="15" customFormat="false" ht="15" hidden="false" customHeight="false" outlineLevel="0" collapsed="false">
      <c r="A15" s="5" t="s">
        <v>52</v>
      </c>
      <c r="B15" s="19" t="n">
        <v>2</v>
      </c>
      <c r="C15" s="2" t="s">
        <v>53</v>
      </c>
    </row>
    <row r="17" customFormat="false" ht="15" hidden="false" customHeight="false" outlineLevel="0" collapsed="false">
      <c r="A17" s="20" t="s">
        <v>54</v>
      </c>
      <c r="B17" s="21" t="s">
        <v>8</v>
      </c>
      <c r="C17" s="21" t="s">
        <v>10</v>
      </c>
    </row>
    <row r="18" customFormat="false" ht="15" hidden="false" customHeight="false" outlineLevel="0" collapsed="false">
      <c r="A18" s="5" t="s">
        <v>55</v>
      </c>
      <c r="B18" s="16" t="n">
        <v>0.074</v>
      </c>
      <c r="C18" s="16" t="n">
        <v>0.01</v>
      </c>
    </row>
    <row r="19" customFormat="false" ht="15" hidden="false" customHeight="false" outlineLevel="0" collapsed="false">
      <c r="A19" s="5" t="s">
        <v>56</v>
      </c>
      <c r="B19" s="16" t="n">
        <v>0.069</v>
      </c>
      <c r="C19" s="16" t="n">
        <v>0.03</v>
      </c>
    </row>
    <row r="20" customFormat="false" ht="15" hidden="false" customHeight="false" outlineLevel="0" collapsed="false">
      <c r="A20" s="5" t="s">
        <v>57</v>
      </c>
      <c r="B20" s="16" t="n">
        <v>0.064</v>
      </c>
      <c r="C20" s="16" t="n">
        <v>0.04</v>
      </c>
    </row>
    <row r="22" customFormat="false" ht="15" hidden="false" customHeight="false" outlineLevel="0" collapsed="false">
      <c r="A22" s="14" t="s">
        <v>58</v>
      </c>
      <c r="B22" s="22" t="n">
        <f aca="false">INDEX(B18:B20,$B$15)</f>
        <v>0.069</v>
      </c>
    </row>
    <row r="23" customFormat="false" ht="15" hidden="false" customHeight="false" outlineLevel="0" collapsed="false">
      <c r="A23" s="14" t="s">
        <v>59</v>
      </c>
      <c r="B23" s="22" t="n">
        <f aca="false">INDEX(C18:C20,$B$15)</f>
        <v>0.03</v>
      </c>
      <c r="C23" s="2" t="s">
        <v>60</v>
      </c>
    </row>
    <row r="25" customFormat="false" ht="15" hidden="false" customHeight="false" outlineLevel="0" collapsed="false">
      <c r="A25" s="3" t="s">
        <v>61</v>
      </c>
      <c r="B25" s="4"/>
      <c r="C25" s="4"/>
    </row>
    <row r="26" customFormat="false" ht="15" hidden="false" customHeight="false" outlineLevel="0" collapsed="false">
      <c r="A26" s="5" t="s">
        <v>62</v>
      </c>
      <c r="B26" s="16" t="n">
        <v>0.08</v>
      </c>
      <c r="C26" s="2" t="s">
        <v>63</v>
      </c>
    </row>
    <row r="27" customFormat="false" ht="15" hidden="false" customHeight="false" outlineLevel="0" collapsed="false">
      <c r="A27" s="5" t="s">
        <v>64</v>
      </c>
      <c r="B27" s="16" t="n">
        <v>0.12</v>
      </c>
      <c r="C27" s="2"/>
    </row>
    <row r="28" customFormat="false" ht="15" hidden="false" customHeight="false" outlineLevel="0" collapsed="false">
      <c r="A28" s="5" t="s">
        <v>65</v>
      </c>
      <c r="B28" s="16" t="n">
        <v>0.16</v>
      </c>
      <c r="C28" s="2"/>
    </row>
    <row r="29" customFormat="false" ht="15" hidden="false" customHeight="false" outlineLevel="0" collapsed="false">
      <c r="A29" s="5" t="s">
        <v>66</v>
      </c>
      <c r="B29" s="16" t="n">
        <v>0.9</v>
      </c>
      <c r="C29" s="2" t="s">
        <v>67</v>
      </c>
    </row>
    <row r="30" customFormat="false" ht="15" hidden="false" customHeight="false" outlineLevel="0" collapsed="false">
      <c r="A30" s="5" t="s">
        <v>68</v>
      </c>
      <c r="B30" s="16" t="n">
        <v>0.8</v>
      </c>
      <c r="C30" s="2"/>
    </row>
    <row r="31" customFormat="false" ht="15" hidden="false" customHeight="false" outlineLevel="0" collapsed="false">
      <c r="A31" s="5" t="s">
        <v>69</v>
      </c>
      <c r="B31" s="16" t="n">
        <v>0.7</v>
      </c>
      <c r="C31" s="2"/>
    </row>
    <row r="33" customFormat="false" ht="15" hidden="false" customHeight="false" outlineLevel="0" collapsed="false">
      <c r="A33" s="14" t="s">
        <v>70</v>
      </c>
    </row>
    <row r="34" customFormat="false" ht="15" hidden="false" customHeight="false" outlineLevel="0" collapsed="false">
      <c r="A34" s="2" t="s">
        <v>71</v>
      </c>
    </row>
    <row r="35" customFormat="false" ht="15" hidden="false" customHeight="false" outlineLevel="0" collapsed="false">
      <c r="A35" s="2" t="s">
        <v>72</v>
      </c>
    </row>
    <row r="36" customFormat="false" ht="15" hidden="false" customHeight="false" outlineLevel="0" collapsed="false">
      <c r="A36" s="2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4" customFormat="false" ht="23.85" hidden="false" customHeight="false" outlineLevel="0" collapsed="false">
      <c r="A4" s="20" t="s">
        <v>76</v>
      </c>
      <c r="B4" s="21" t="s">
        <v>77</v>
      </c>
      <c r="C4" s="21" t="s">
        <v>78</v>
      </c>
      <c r="D4" s="21" t="s">
        <v>79</v>
      </c>
      <c r="E4" s="21" t="s">
        <v>80</v>
      </c>
      <c r="F4" s="21" t="s">
        <v>81</v>
      </c>
      <c r="G4" s="21" t="s">
        <v>82</v>
      </c>
    </row>
    <row r="5" customFormat="false" ht="15" hidden="false" customHeight="false" outlineLevel="0" collapsed="false">
      <c r="A5" s="5" t="s">
        <v>83</v>
      </c>
      <c r="B5" s="23" t="s">
        <v>84</v>
      </c>
      <c r="C5" s="23" t="n">
        <v>2</v>
      </c>
      <c r="D5" s="24" t="n">
        <v>960</v>
      </c>
      <c r="E5" s="15" t="n">
        <v>1425</v>
      </c>
      <c r="F5" s="10" t="n">
        <f aca="false">E5*12</f>
        <v>17100</v>
      </c>
      <c r="G5" s="25" t="n">
        <f aca="false">F5/D5</f>
        <v>17.8125</v>
      </c>
    </row>
    <row r="6" customFormat="false" ht="15" hidden="false" customHeight="false" outlineLevel="0" collapsed="false">
      <c r="A6" s="5" t="s">
        <v>85</v>
      </c>
      <c r="B6" s="23" t="s">
        <v>86</v>
      </c>
      <c r="C6" s="23" t="n">
        <v>1</v>
      </c>
      <c r="D6" s="24" t="n">
        <v>730</v>
      </c>
      <c r="E6" s="15" t="n">
        <v>1175</v>
      </c>
      <c r="F6" s="10" t="n">
        <f aca="false">E6*12</f>
        <v>14100</v>
      </c>
      <c r="G6" s="25" t="n">
        <f aca="false">F6/D6</f>
        <v>19.3150684931507</v>
      </c>
    </row>
    <row r="7" customFormat="false" ht="15" hidden="false" customHeight="false" outlineLevel="0" collapsed="false">
      <c r="A7" s="5" t="s">
        <v>87</v>
      </c>
      <c r="B7" s="23" t="s">
        <v>84</v>
      </c>
      <c r="C7" s="23" t="n">
        <v>2</v>
      </c>
      <c r="D7" s="24" t="n">
        <v>980</v>
      </c>
      <c r="E7" s="15" t="n">
        <v>1410</v>
      </c>
      <c r="F7" s="10" t="n">
        <f aca="false">E7*12</f>
        <v>16920</v>
      </c>
      <c r="G7" s="25" t="n">
        <f aca="false">F7/D7</f>
        <v>17.265306122449</v>
      </c>
    </row>
    <row r="8" customFormat="false" ht="15" hidden="false" customHeight="false" outlineLevel="0" collapsed="false">
      <c r="A8" s="5" t="s">
        <v>88</v>
      </c>
      <c r="B8" s="23" t="s">
        <v>86</v>
      </c>
      <c r="C8" s="23" t="n">
        <v>1</v>
      </c>
      <c r="D8" s="24" t="n">
        <v>720</v>
      </c>
      <c r="E8" s="15" t="n">
        <v>1160</v>
      </c>
      <c r="F8" s="10" t="n">
        <f aca="false">E8*12</f>
        <v>13920</v>
      </c>
      <c r="G8" s="25" t="n">
        <f aca="false">F8/D8</f>
        <v>19.3333333333333</v>
      </c>
    </row>
    <row r="9" customFormat="false" ht="15" hidden="false" customHeight="false" outlineLevel="0" collapsed="false">
      <c r="A9" s="5" t="s">
        <v>89</v>
      </c>
      <c r="B9" s="23" t="s">
        <v>90</v>
      </c>
      <c r="C9" s="23" t="n">
        <v>3</v>
      </c>
      <c r="D9" s="24" t="n">
        <v>1190</v>
      </c>
      <c r="E9" s="15" t="n">
        <v>1700</v>
      </c>
      <c r="F9" s="10" t="n">
        <f aca="false">E9*12</f>
        <v>20400</v>
      </c>
      <c r="G9" s="25" t="n">
        <f aca="false">F9/D9</f>
        <v>17.1428571428571</v>
      </c>
    </row>
    <row r="10" customFormat="false" ht="15" hidden="false" customHeight="false" outlineLevel="0" collapsed="false">
      <c r="A10" s="5" t="s">
        <v>91</v>
      </c>
      <c r="B10" s="23" t="s">
        <v>84</v>
      </c>
      <c r="C10" s="23" t="n">
        <v>2</v>
      </c>
      <c r="D10" s="24" t="n">
        <v>980</v>
      </c>
      <c r="E10" s="15" t="n">
        <v>1400</v>
      </c>
      <c r="F10" s="10" t="n">
        <f aca="false">E10*12</f>
        <v>16800</v>
      </c>
      <c r="G10" s="25" t="n">
        <f aca="false">F10/D10</f>
        <v>17.1428571428571</v>
      </c>
    </row>
    <row r="11" customFormat="false" ht="15" hidden="false" customHeight="false" outlineLevel="0" collapsed="false">
      <c r="A11" s="5" t="s">
        <v>92</v>
      </c>
      <c r="B11" s="23" t="s">
        <v>86</v>
      </c>
      <c r="C11" s="23" t="n">
        <v>1</v>
      </c>
      <c r="D11" s="24" t="n">
        <v>720</v>
      </c>
      <c r="E11" s="15" t="n">
        <v>1165</v>
      </c>
      <c r="F11" s="10" t="n">
        <f aca="false">E11*12</f>
        <v>13980</v>
      </c>
      <c r="G11" s="25" t="n">
        <f aca="false">F11/D11</f>
        <v>19.4166666666667</v>
      </c>
    </row>
    <row r="12" customFormat="false" ht="15" hidden="false" customHeight="false" outlineLevel="0" collapsed="false">
      <c r="A12" s="5" t="s">
        <v>93</v>
      </c>
      <c r="B12" s="23" t="s">
        <v>86</v>
      </c>
      <c r="C12" s="23" t="n">
        <v>1</v>
      </c>
      <c r="D12" s="24" t="n">
        <v>730</v>
      </c>
      <c r="E12" s="15" t="n">
        <v>1155</v>
      </c>
      <c r="F12" s="10" t="n">
        <f aca="false">E12*12</f>
        <v>13860</v>
      </c>
      <c r="G12" s="25" t="n">
        <f aca="false">F12/D12</f>
        <v>18.986301369863</v>
      </c>
    </row>
    <row r="13" customFormat="false" ht="15" hidden="false" customHeight="false" outlineLevel="0" collapsed="false">
      <c r="A13" s="5" t="s">
        <v>94</v>
      </c>
      <c r="B13" s="23" t="s">
        <v>86</v>
      </c>
      <c r="C13" s="23" t="n">
        <v>1</v>
      </c>
      <c r="D13" s="24" t="n">
        <v>740</v>
      </c>
      <c r="E13" s="15" t="n">
        <v>1150</v>
      </c>
      <c r="F13" s="10" t="n">
        <f aca="false">E13*12</f>
        <v>13800</v>
      </c>
      <c r="G13" s="25" t="n">
        <f aca="false">F13/D13</f>
        <v>18.6486486486487</v>
      </c>
    </row>
    <row r="14" customFormat="false" ht="15" hidden="false" customHeight="false" outlineLevel="0" collapsed="false">
      <c r="A14" s="5" t="s">
        <v>95</v>
      </c>
      <c r="B14" s="23" t="s">
        <v>90</v>
      </c>
      <c r="C14" s="23" t="n">
        <v>3</v>
      </c>
      <c r="D14" s="24" t="n">
        <v>1180</v>
      </c>
      <c r="E14" s="15" t="n">
        <v>1725</v>
      </c>
      <c r="F14" s="10" t="n">
        <f aca="false">E14*12</f>
        <v>20700</v>
      </c>
      <c r="G14" s="25" t="n">
        <f aca="false">F14/D14</f>
        <v>17.5423728813559</v>
      </c>
    </row>
    <row r="15" customFormat="false" ht="15" hidden="false" customHeight="false" outlineLevel="0" collapsed="false">
      <c r="A15" s="5" t="s">
        <v>96</v>
      </c>
      <c r="B15" s="23" t="s">
        <v>84</v>
      </c>
      <c r="C15" s="23" t="n">
        <v>2</v>
      </c>
      <c r="D15" s="24" t="n">
        <v>970</v>
      </c>
      <c r="E15" s="15" t="n">
        <v>1410</v>
      </c>
      <c r="F15" s="10" t="n">
        <f aca="false">E15*12</f>
        <v>16920</v>
      </c>
      <c r="G15" s="25" t="n">
        <f aca="false">F15/D15</f>
        <v>17.4432989690722</v>
      </c>
    </row>
    <row r="16" customFormat="false" ht="15" hidden="false" customHeight="false" outlineLevel="0" collapsed="false">
      <c r="A16" s="5" t="s">
        <v>97</v>
      </c>
      <c r="B16" s="23" t="s">
        <v>84</v>
      </c>
      <c r="C16" s="23" t="n">
        <v>2</v>
      </c>
      <c r="D16" s="24" t="n">
        <v>980</v>
      </c>
      <c r="E16" s="15" t="n">
        <v>1435</v>
      </c>
      <c r="F16" s="10" t="n">
        <f aca="false">E16*12</f>
        <v>17220</v>
      </c>
      <c r="G16" s="25" t="n">
        <f aca="false">F16/D16</f>
        <v>17.5714285714286</v>
      </c>
    </row>
    <row r="17" customFormat="false" ht="15" hidden="false" customHeight="false" outlineLevel="0" collapsed="false">
      <c r="A17" s="5" t="s">
        <v>98</v>
      </c>
      <c r="B17" s="23" t="s">
        <v>90</v>
      </c>
      <c r="C17" s="23" t="n">
        <v>3</v>
      </c>
      <c r="D17" s="24" t="n">
        <v>1180</v>
      </c>
      <c r="E17" s="15" t="n">
        <v>1700</v>
      </c>
      <c r="F17" s="10" t="n">
        <f aca="false">E17*12</f>
        <v>20400</v>
      </c>
      <c r="G17" s="25" t="n">
        <f aca="false">F17/D17</f>
        <v>17.2881355932203</v>
      </c>
    </row>
    <row r="18" customFormat="false" ht="15" hidden="false" customHeight="false" outlineLevel="0" collapsed="false">
      <c r="A18" s="5" t="s">
        <v>99</v>
      </c>
      <c r="B18" s="23" t="s">
        <v>84</v>
      </c>
      <c r="C18" s="23" t="n">
        <v>2</v>
      </c>
      <c r="D18" s="24" t="n">
        <v>970</v>
      </c>
      <c r="E18" s="15" t="n">
        <v>1400</v>
      </c>
      <c r="F18" s="10" t="n">
        <f aca="false">E18*12</f>
        <v>16800</v>
      </c>
      <c r="G18" s="25" t="n">
        <f aca="false">F18/D18</f>
        <v>17.319587628866</v>
      </c>
    </row>
    <row r="19" customFormat="false" ht="15" hidden="false" customHeight="false" outlineLevel="0" collapsed="false">
      <c r="A19" s="5" t="s">
        <v>100</v>
      </c>
      <c r="B19" s="23" t="s">
        <v>84</v>
      </c>
      <c r="C19" s="23" t="n">
        <v>2</v>
      </c>
      <c r="D19" s="24" t="n">
        <v>980</v>
      </c>
      <c r="E19" s="15" t="n">
        <v>1440</v>
      </c>
      <c r="F19" s="10" t="n">
        <f aca="false">E19*12</f>
        <v>17280</v>
      </c>
      <c r="G19" s="25" t="n">
        <f aca="false">F19/D19</f>
        <v>17.6326530612245</v>
      </c>
    </row>
    <row r="20" customFormat="false" ht="15" hidden="false" customHeight="false" outlineLevel="0" collapsed="false">
      <c r="A20" s="5" t="s">
        <v>101</v>
      </c>
      <c r="B20" s="23" t="s">
        <v>86</v>
      </c>
      <c r="C20" s="23" t="n">
        <v>1</v>
      </c>
      <c r="D20" s="24" t="n">
        <v>720</v>
      </c>
      <c r="E20" s="15" t="n">
        <v>1155</v>
      </c>
      <c r="F20" s="10" t="n">
        <f aca="false">E20*12</f>
        <v>13860</v>
      </c>
      <c r="G20" s="25" t="n">
        <f aca="false">F20/D20</f>
        <v>19.25</v>
      </c>
    </row>
    <row r="21" customFormat="false" ht="15" hidden="false" customHeight="false" outlineLevel="0" collapsed="false">
      <c r="A21" s="5" t="s">
        <v>102</v>
      </c>
      <c r="B21" s="23" t="s">
        <v>84</v>
      </c>
      <c r="C21" s="23" t="n">
        <v>2</v>
      </c>
      <c r="D21" s="24" t="n">
        <v>970</v>
      </c>
      <c r="E21" s="15" t="n">
        <v>1425</v>
      </c>
      <c r="F21" s="10" t="n">
        <f aca="false">E21*12</f>
        <v>17100</v>
      </c>
      <c r="G21" s="25" t="n">
        <f aca="false">F21/D21</f>
        <v>17.6288659793814</v>
      </c>
    </row>
    <row r="22" customFormat="false" ht="15" hidden="false" customHeight="false" outlineLevel="0" collapsed="false">
      <c r="A22" s="5" t="s">
        <v>103</v>
      </c>
      <c r="B22" s="23" t="s">
        <v>84</v>
      </c>
      <c r="C22" s="23" t="n">
        <v>2</v>
      </c>
      <c r="D22" s="24" t="n">
        <v>980</v>
      </c>
      <c r="E22" s="15" t="n">
        <v>1450</v>
      </c>
      <c r="F22" s="10" t="n">
        <f aca="false">E22*12</f>
        <v>17400</v>
      </c>
      <c r="G22" s="25" t="n">
        <f aca="false">F22/D22</f>
        <v>17.7551020408163</v>
      </c>
    </row>
    <row r="23" customFormat="false" ht="15" hidden="false" customHeight="false" outlineLevel="0" collapsed="false">
      <c r="A23" s="5" t="s">
        <v>104</v>
      </c>
      <c r="B23" s="23" t="s">
        <v>86</v>
      </c>
      <c r="C23" s="23" t="n">
        <v>1</v>
      </c>
      <c r="D23" s="24" t="n">
        <v>720</v>
      </c>
      <c r="E23" s="15" t="n">
        <v>1135</v>
      </c>
      <c r="F23" s="10" t="n">
        <f aca="false">E23*12</f>
        <v>13620</v>
      </c>
      <c r="G23" s="25" t="n">
        <f aca="false">F23/D23</f>
        <v>18.9166666666667</v>
      </c>
    </row>
    <row r="24" customFormat="false" ht="15" hidden="false" customHeight="false" outlineLevel="0" collapsed="false">
      <c r="A24" s="5" t="s">
        <v>105</v>
      </c>
      <c r="B24" s="23" t="s">
        <v>84</v>
      </c>
      <c r="C24" s="23" t="n">
        <v>2</v>
      </c>
      <c r="D24" s="24" t="n">
        <v>970</v>
      </c>
      <c r="E24" s="15" t="n">
        <v>1435</v>
      </c>
      <c r="F24" s="10" t="n">
        <f aca="false">E24*12</f>
        <v>17220</v>
      </c>
      <c r="G24" s="25" t="n">
        <f aca="false">F24/D24</f>
        <v>17.7525773195876</v>
      </c>
    </row>
    <row r="25" customFormat="false" ht="15" hidden="false" customHeight="false" outlineLevel="0" collapsed="false">
      <c r="A25" s="5" t="s">
        <v>106</v>
      </c>
      <c r="B25" s="23" t="s">
        <v>84</v>
      </c>
      <c r="C25" s="23" t="n">
        <v>2</v>
      </c>
      <c r="D25" s="24" t="n">
        <v>980</v>
      </c>
      <c r="E25" s="15" t="n">
        <v>1425</v>
      </c>
      <c r="F25" s="10" t="n">
        <f aca="false">E25*12</f>
        <v>17100</v>
      </c>
      <c r="G25" s="25" t="n">
        <f aca="false">F25/D25</f>
        <v>17.4489795918367</v>
      </c>
    </row>
    <row r="26" customFormat="false" ht="15" hidden="false" customHeight="false" outlineLevel="0" collapsed="false">
      <c r="A26" s="5" t="s">
        <v>107</v>
      </c>
      <c r="B26" s="23" t="s">
        <v>86</v>
      </c>
      <c r="C26" s="23" t="n">
        <v>1</v>
      </c>
      <c r="D26" s="24" t="n">
        <v>720</v>
      </c>
      <c r="E26" s="15" t="n">
        <v>1125</v>
      </c>
      <c r="F26" s="10" t="n">
        <f aca="false">E26*12</f>
        <v>13500</v>
      </c>
      <c r="G26" s="25" t="n">
        <f aca="false">F26/D26</f>
        <v>18.75</v>
      </c>
    </row>
    <row r="27" customFormat="false" ht="15" hidden="false" customHeight="false" outlineLevel="0" collapsed="false">
      <c r="A27" s="5" t="s">
        <v>108</v>
      </c>
      <c r="B27" s="23" t="s">
        <v>84</v>
      </c>
      <c r="C27" s="23" t="n">
        <v>2</v>
      </c>
      <c r="D27" s="24" t="n">
        <v>970</v>
      </c>
      <c r="E27" s="15" t="n">
        <v>1440</v>
      </c>
      <c r="F27" s="10" t="n">
        <f aca="false">E27*12</f>
        <v>17280</v>
      </c>
      <c r="G27" s="25" t="n">
        <f aca="false">F27/D27</f>
        <v>17.8144329896907</v>
      </c>
    </row>
    <row r="28" customFormat="false" ht="15" hidden="false" customHeight="false" outlineLevel="0" collapsed="false">
      <c r="A28" s="5" t="s">
        <v>109</v>
      </c>
      <c r="B28" s="23" t="s">
        <v>84</v>
      </c>
      <c r="C28" s="23" t="n">
        <v>2</v>
      </c>
      <c r="D28" s="24" t="n">
        <v>980</v>
      </c>
      <c r="E28" s="15" t="n">
        <v>1430</v>
      </c>
      <c r="F28" s="10" t="n">
        <f aca="false">E28*12</f>
        <v>17160</v>
      </c>
      <c r="G28" s="25" t="n">
        <f aca="false">F28/D28</f>
        <v>17.5102040816327</v>
      </c>
    </row>
    <row r="29" customFormat="false" ht="15" hidden="false" customHeight="false" outlineLevel="0" collapsed="false">
      <c r="A29" s="5" t="s">
        <v>110</v>
      </c>
      <c r="B29" s="23" t="s">
        <v>84</v>
      </c>
      <c r="C29" s="23" t="n">
        <v>2</v>
      </c>
      <c r="D29" s="24" t="n">
        <v>960</v>
      </c>
      <c r="E29" s="15" t="n">
        <v>1425</v>
      </c>
      <c r="F29" s="10" t="n">
        <f aca="false">E29*12</f>
        <v>17100</v>
      </c>
      <c r="G29" s="25" t="n">
        <f aca="false">F29/D29</f>
        <v>17.8125</v>
      </c>
    </row>
    <row r="30" customFormat="false" ht="15" hidden="false" customHeight="false" outlineLevel="0" collapsed="false">
      <c r="A30" s="5" t="s">
        <v>111</v>
      </c>
      <c r="B30" s="23" t="s">
        <v>84</v>
      </c>
      <c r="C30" s="23" t="n">
        <v>2</v>
      </c>
      <c r="D30" s="24" t="n">
        <v>970</v>
      </c>
      <c r="E30" s="15" t="n">
        <v>1450</v>
      </c>
      <c r="F30" s="10" t="n">
        <f aca="false">E30*12</f>
        <v>17400</v>
      </c>
      <c r="G30" s="25" t="n">
        <f aca="false">F30/D30</f>
        <v>17.9381443298969</v>
      </c>
    </row>
    <row r="31" customFormat="false" ht="15" hidden="false" customHeight="false" outlineLevel="0" collapsed="false">
      <c r="A31" s="5" t="s">
        <v>112</v>
      </c>
      <c r="B31" s="23" t="s">
        <v>84</v>
      </c>
      <c r="C31" s="23" t="n">
        <v>2</v>
      </c>
      <c r="D31" s="24" t="n">
        <v>980</v>
      </c>
      <c r="E31" s="15" t="n">
        <v>1410</v>
      </c>
      <c r="F31" s="10" t="n">
        <f aca="false">E31*12</f>
        <v>16920</v>
      </c>
      <c r="G31" s="25" t="n">
        <f aca="false">F31/D31</f>
        <v>17.265306122449</v>
      </c>
    </row>
    <row r="32" customFormat="false" ht="15" hidden="false" customHeight="false" outlineLevel="0" collapsed="false">
      <c r="A32" s="5" t="s">
        <v>113</v>
      </c>
      <c r="B32" s="23" t="s">
        <v>84</v>
      </c>
      <c r="C32" s="23" t="n">
        <v>2</v>
      </c>
      <c r="D32" s="24" t="n">
        <v>960</v>
      </c>
      <c r="E32" s="15" t="n">
        <v>1435</v>
      </c>
      <c r="F32" s="10" t="n">
        <f aca="false">E32*12</f>
        <v>17220</v>
      </c>
      <c r="G32" s="25" t="n">
        <f aca="false">F32/D32</f>
        <v>17.9375</v>
      </c>
    </row>
    <row r="33" customFormat="false" ht="15" hidden="false" customHeight="false" outlineLevel="0" collapsed="false">
      <c r="A33" s="5" t="s">
        <v>114</v>
      </c>
      <c r="B33" s="23" t="s">
        <v>84</v>
      </c>
      <c r="C33" s="23" t="n">
        <v>2</v>
      </c>
      <c r="D33" s="24" t="n">
        <v>970</v>
      </c>
      <c r="E33" s="15" t="n">
        <v>1425</v>
      </c>
      <c r="F33" s="10" t="n">
        <f aca="false">E33*12</f>
        <v>17100</v>
      </c>
      <c r="G33" s="25" t="n">
        <f aca="false">F33/D33</f>
        <v>17.6288659793814</v>
      </c>
    </row>
    <row r="34" customFormat="false" ht="15" hidden="false" customHeight="false" outlineLevel="0" collapsed="false">
      <c r="A34" s="5" t="s">
        <v>115</v>
      </c>
      <c r="B34" s="23" t="s">
        <v>90</v>
      </c>
      <c r="C34" s="23" t="n">
        <v>3</v>
      </c>
      <c r="D34" s="24" t="n">
        <v>1200</v>
      </c>
      <c r="E34" s="15" t="n">
        <v>1675</v>
      </c>
      <c r="F34" s="10" t="n">
        <f aca="false">E34*12</f>
        <v>20100</v>
      </c>
      <c r="G34" s="25" t="n">
        <f aca="false">F34/D34</f>
        <v>16.75</v>
      </c>
    </row>
    <row r="35" customFormat="false" ht="15" hidden="false" customHeight="false" outlineLevel="0" collapsed="false">
      <c r="A35" s="5" t="s">
        <v>116</v>
      </c>
      <c r="B35" s="23" t="s">
        <v>84</v>
      </c>
      <c r="C35" s="23" t="n">
        <v>2</v>
      </c>
      <c r="D35" s="24" t="n">
        <v>960</v>
      </c>
      <c r="E35" s="15" t="n">
        <v>1440</v>
      </c>
      <c r="F35" s="10" t="n">
        <f aca="false">E35*12</f>
        <v>17280</v>
      </c>
      <c r="G35" s="25" t="n">
        <f aca="false">F35/D35</f>
        <v>18</v>
      </c>
    </row>
    <row r="36" customFormat="false" ht="15" hidden="false" customHeight="false" outlineLevel="0" collapsed="false">
      <c r="A36" s="5" t="s">
        <v>117</v>
      </c>
      <c r="B36" s="23" t="s">
        <v>86</v>
      </c>
      <c r="C36" s="23" t="n">
        <v>1</v>
      </c>
      <c r="D36" s="24" t="n">
        <v>730</v>
      </c>
      <c r="E36" s="15" t="n">
        <v>1155</v>
      </c>
      <c r="F36" s="10" t="n">
        <f aca="false">E36*12</f>
        <v>13860</v>
      </c>
      <c r="G36" s="25" t="n">
        <f aca="false">F36/D36</f>
        <v>18.986301369863</v>
      </c>
    </row>
    <row r="37" customFormat="false" ht="15" hidden="false" customHeight="false" outlineLevel="0" collapsed="false">
      <c r="A37" s="5" t="s">
        <v>118</v>
      </c>
      <c r="B37" s="23" t="s">
        <v>86</v>
      </c>
      <c r="C37" s="23" t="n">
        <v>1</v>
      </c>
      <c r="D37" s="24" t="n">
        <v>740</v>
      </c>
      <c r="E37" s="15" t="n">
        <v>1150</v>
      </c>
      <c r="F37" s="10" t="n">
        <f aca="false">E37*12</f>
        <v>13800</v>
      </c>
      <c r="G37" s="25" t="n">
        <f aca="false">F37/D37</f>
        <v>18.6486486486487</v>
      </c>
    </row>
    <row r="38" customFormat="false" ht="15" hidden="false" customHeight="false" outlineLevel="0" collapsed="false">
      <c r="A38" s="5" t="s">
        <v>119</v>
      </c>
      <c r="B38" s="23" t="s">
        <v>86</v>
      </c>
      <c r="C38" s="23" t="n">
        <v>1</v>
      </c>
      <c r="D38" s="24" t="n">
        <v>720</v>
      </c>
      <c r="E38" s="15" t="n">
        <v>1175</v>
      </c>
      <c r="F38" s="10" t="n">
        <f aca="false">E38*12</f>
        <v>14100</v>
      </c>
      <c r="G38" s="25" t="n">
        <f aca="false">F38/D38</f>
        <v>19.5833333333333</v>
      </c>
    </row>
    <row r="39" customFormat="false" ht="15" hidden="false" customHeight="false" outlineLevel="0" collapsed="false">
      <c r="A39" s="5" t="s">
        <v>120</v>
      </c>
      <c r="B39" s="23" t="s">
        <v>84</v>
      </c>
      <c r="C39" s="23" t="n">
        <v>2</v>
      </c>
      <c r="D39" s="24" t="n">
        <v>970</v>
      </c>
      <c r="E39" s="15" t="n">
        <v>1410</v>
      </c>
      <c r="F39" s="10" t="n">
        <f aca="false">E39*12</f>
        <v>16920</v>
      </c>
      <c r="G39" s="25" t="n">
        <f aca="false">F39/D39</f>
        <v>17.4432989690722</v>
      </c>
    </row>
    <row r="40" customFormat="false" ht="15" hidden="false" customHeight="false" outlineLevel="0" collapsed="false">
      <c r="A40" s="5" t="s">
        <v>121</v>
      </c>
      <c r="B40" s="23" t="s">
        <v>90</v>
      </c>
      <c r="C40" s="23" t="n">
        <v>3</v>
      </c>
      <c r="D40" s="24" t="n">
        <v>1200</v>
      </c>
      <c r="E40" s="15" t="n">
        <v>1710</v>
      </c>
      <c r="F40" s="10" t="n">
        <f aca="false">E40*12</f>
        <v>20520</v>
      </c>
      <c r="G40" s="25" t="n">
        <f aca="false">F40/D40</f>
        <v>17.1</v>
      </c>
    </row>
    <row r="41" customFormat="false" ht="15" hidden="false" customHeight="false" outlineLevel="0" collapsed="false">
      <c r="A41" s="5" t="s">
        <v>122</v>
      </c>
      <c r="B41" s="23" t="s">
        <v>86</v>
      </c>
      <c r="C41" s="23" t="n">
        <v>1</v>
      </c>
      <c r="D41" s="24" t="n">
        <v>720</v>
      </c>
      <c r="E41" s="15" t="n">
        <v>1150</v>
      </c>
      <c r="F41" s="10" t="n">
        <f aca="false">E41*12</f>
        <v>13800</v>
      </c>
      <c r="G41" s="25" t="n">
        <f aca="false">F41/D41</f>
        <v>19.1666666666667</v>
      </c>
    </row>
    <row r="42" customFormat="false" ht="15" hidden="false" customHeight="false" outlineLevel="0" collapsed="false">
      <c r="A42" s="5" t="s">
        <v>123</v>
      </c>
      <c r="B42" s="23" t="s">
        <v>90</v>
      </c>
      <c r="C42" s="23" t="n">
        <v>3</v>
      </c>
      <c r="D42" s="24" t="n">
        <v>1190</v>
      </c>
      <c r="E42" s="15" t="n">
        <v>1675</v>
      </c>
      <c r="F42" s="10" t="n">
        <f aca="false">E42*12</f>
        <v>20100</v>
      </c>
      <c r="G42" s="25" t="n">
        <f aca="false">F42/D42</f>
        <v>16.890756302521</v>
      </c>
    </row>
    <row r="43" customFormat="false" ht="15" hidden="false" customHeight="false" outlineLevel="0" collapsed="false">
      <c r="A43" s="5" t="s">
        <v>124</v>
      </c>
      <c r="B43" s="23" t="s">
        <v>84</v>
      </c>
      <c r="C43" s="23" t="n">
        <v>2</v>
      </c>
      <c r="D43" s="24" t="n">
        <v>980</v>
      </c>
      <c r="E43" s="15" t="n">
        <v>1440</v>
      </c>
      <c r="F43" s="10" t="n">
        <f aca="false">E43*12</f>
        <v>17280</v>
      </c>
      <c r="G43" s="25" t="n">
        <f aca="false">F43/D43</f>
        <v>17.6326530612245</v>
      </c>
    </row>
    <row r="44" customFormat="false" ht="15" hidden="false" customHeight="false" outlineLevel="0" collapsed="false">
      <c r="A44" s="5" t="s">
        <v>125</v>
      </c>
      <c r="B44" s="23" t="s">
        <v>90</v>
      </c>
      <c r="C44" s="23" t="n">
        <v>3</v>
      </c>
      <c r="D44" s="24" t="n">
        <v>1180</v>
      </c>
      <c r="E44" s="15" t="n">
        <v>1705</v>
      </c>
      <c r="F44" s="10" t="n">
        <f aca="false">E44*12</f>
        <v>20460</v>
      </c>
      <c r="G44" s="25" t="n">
        <f aca="false">F44/D44</f>
        <v>17.3389830508475</v>
      </c>
    </row>
    <row r="45" customFormat="false" ht="15" hidden="false" customHeight="false" outlineLevel="0" collapsed="false">
      <c r="A45" s="5" t="s">
        <v>126</v>
      </c>
      <c r="B45" s="23" t="s">
        <v>86</v>
      </c>
      <c r="C45" s="23" t="n">
        <v>1</v>
      </c>
      <c r="D45" s="24" t="n">
        <v>730</v>
      </c>
      <c r="E45" s="15" t="n">
        <v>1150</v>
      </c>
      <c r="F45" s="10" t="n">
        <f aca="false">E45*12</f>
        <v>13800</v>
      </c>
      <c r="G45" s="25" t="n">
        <f aca="false">F45/D45</f>
        <v>18.9041095890411</v>
      </c>
    </row>
    <row r="46" customFormat="false" ht="15" hidden="false" customHeight="false" outlineLevel="0" collapsed="false">
      <c r="A46" s="5" t="s">
        <v>127</v>
      </c>
      <c r="B46" s="23" t="s">
        <v>86</v>
      </c>
      <c r="C46" s="23" t="n">
        <v>1</v>
      </c>
      <c r="D46" s="24" t="n">
        <v>740</v>
      </c>
      <c r="E46" s="15" t="n">
        <v>1175</v>
      </c>
      <c r="F46" s="10" t="n">
        <f aca="false">E46*12</f>
        <v>14100</v>
      </c>
      <c r="G46" s="25" t="n">
        <f aca="false">F46/D46</f>
        <v>19.0540540540541</v>
      </c>
    </row>
    <row r="47" customFormat="false" ht="15" hidden="false" customHeight="false" outlineLevel="0" collapsed="false">
      <c r="A47" s="5" t="s">
        <v>128</v>
      </c>
      <c r="B47" s="23" t="s">
        <v>84</v>
      </c>
      <c r="C47" s="23" t="n">
        <v>2</v>
      </c>
      <c r="D47" s="24" t="n">
        <v>960</v>
      </c>
      <c r="E47" s="15" t="n">
        <v>1410</v>
      </c>
      <c r="F47" s="10" t="n">
        <f aca="false">E47*12</f>
        <v>16920</v>
      </c>
      <c r="G47" s="25" t="n">
        <f aca="false">F47/D47</f>
        <v>17.625</v>
      </c>
    </row>
    <row r="48" customFormat="false" ht="15" hidden="false" customHeight="false" outlineLevel="0" collapsed="false">
      <c r="A48" s="5" t="s">
        <v>129</v>
      </c>
      <c r="B48" s="23" t="s">
        <v>84</v>
      </c>
      <c r="C48" s="23" t="n">
        <v>2</v>
      </c>
      <c r="D48" s="24" t="n">
        <v>970</v>
      </c>
      <c r="E48" s="15" t="n">
        <v>1435</v>
      </c>
      <c r="F48" s="10" t="n">
        <f aca="false">E48*12</f>
        <v>17220</v>
      </c>
      <c r="G48" s="25" t="n">
        <f aca="false">F48/D48</f>
        <v>17.7525773195876</v>
      </c>
    </row>
    <row r="49" customFormat="false" ht="15" hidden="false" customHeight="false" outlineLevel="0" collapsed="false">
      <c r="A49" s="5" t="s">
        <v>130</v>
      </c>
      <c r="B49" s="23" t="s">
        <v>90</v>
      </c>
      <c r="C49" s="23" t="n">
        <v>3</v>
      </c>
      <c r="D49" s="24" t="n">
        <v>1200</v>
      </c>
      <c r="E49" s="15" t="n">
        <v>1700</v>
      </c>
      <c r="F49" s="10" t="n">
        <f aca="false">E49*12</f>
        <v>20400</v>
      </c>
      <c r="G49" s="25" t="n">
        <f aca="false">F49/D49</f>
        <v>17</v>
      </c>
    </row>
    <row r="50" customFormat="false" ht="15" hidden="false" customHeight="false" outlineLevel="0" collapsed="false">
      <c r="A50" s="5" t="s">
        <v>131</v>
      </c>
      <c r="B50" s="23" t="s">
        <v>84</v>
      </c>
      <c r="C50" s="23" t="n">
        <v>2</v>
      </c>
      <c r="D50" s="24" t="n">
        <v>960</v>
      </c>
      <c r="E50" s="15" t="n">
        <v>1400</v>
      </c>
      <c r="F50" s="10" t="n">
        <f aca="false">E50*12</f>
        <v>16800</v>
      </c>
      <c r="G50" s="25" t="n">
        <f aca="false">F50/D50</f>
        <v>17.5</v>
      </c>
    </row>
    <row r="51" customFormat="false" ht="15" hidden="false" customHeight="false" outlineLevel="0" collapsed="false">
      <c r="A51" s="5" t="s">
        <v>132</v>
      </c>
      <c r="B51" s="23" t="s">
        <v>84</v>
      </c>
      <c r="C51" s="23" t="n">
        <v>2</v>
      </c>
      <c r="D51" s="24" t="n">
        <v>970</v>
      </c>
      <c r="E51" s="15" t="n">
        <v>1440</v>
      </c>
      <c r="F51" s="10" t="n">
        <f aca="false">E51*12</f>
        <v>17280</v>
      </c>
      <c r="G51" s="25" t="n">
        <f aca="false">F51/D51</f>
        <v>17.8144329896907</v>
      </c>
    </row>
    <row r="52" customFormat="false" ht="15" hidden="false" customHeight="false" outlineLevel="0" collapsed="false">
      <c r="A52" s="5" t="s">
        <v>133</v>
      </c>
      <c r="B52" s="23" t="s">
        <v>84</v>
      </c>
      <c r="C52" s="23" t="n">
        <v>2</v>
      </c>
      <c r="D52" s="24" t="n">
        <v>980</v>
      </c>
      <c r="E52" s="15" t="n">
        <v>1430</v>
      </c>
      <c r="F52" s="10" t="n">
        <f aca="false">E52*12</f>
        <v>17160</v>
      </c>
      <c r="G52" s="25" t="n">
        <f aca="false">F52/D52</f>
        <v>17.5102040816327</v>
      </c>
    </row>
    <row r="53" customFormat="false" ht="15" hidden="false" customHeight="false" outlineLevel="0" collapsed="false">
      <c r="A53" s="26" t="s">
        <v>134</v>
      </c>
      <c r="B53" s="27"/>
      <c r="C53" s="28" t="n">
        <f aca="false">COUNTA(A5:A52)</f>
        <v>48</v>
      </c>
      <c r="D53" s="29" t="n">
        <f aca="false">SUM(D5:D52)</f>
        <v>44960</v>
      </c>
      <c r="E53" s="30" t="n">
        <f aca="false">SUM(E5:E52)</f>
        <v>66840</v>
      </c>
      <c r="F53" s="30" t="n">
        <f aca="false">SUM(F5:F52)</f>
        <v>802080</v>
      </c>
      <c r="G53" s="31" t="n">
        <f aca="false">F53/D53</f>
        <v>17.8398576512456</v>
      </c>
    </row>
    <row r="55" customFormat="false" ht="15" hidden="false" customHeight="false" outlineLevel="0" collapsed="false">
      <c r="A55" s="2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50"/>
  </cols>
  <sheetData>
    <row r="1" customFormat="false" ht="19.7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137</v>
      </c>
    </row>
    <row r="4" customFormat="false" ht="15" hidden="false" customHeight="false" outlineLevel="0" collapsed="false">
      <c r="A4" s="20" t="s">
        <v>138</v>
      </c>
      <c r="B4" s="21" t="s">
        <v>139</v>
      </c>
      <c r="C4" s="21" t="s">
        <v>140</v>
      </c>
      <c r="D4" s="21" t="s">
        <v>141</v>
      </c>
      <c r="E4" s="21" t="s">
        <v>142</v>
      </c>
    </row>
    <row r="5" customFormat="false" ht="15" hidden="false" customHeight="false" outlineLevel="0" collapsed="false">
      <c r="A5" s="5" t="s">
        <v>143</v>
      </c>
      <c r="B5" s="8" t="n">
        <f aca="false">'Rent Roll'!$F$53</f>
        <v>802080</v>
      </c>
      <c r="C5" s="10" t="n">
        <f aca="false">B5/'Rent Roll'!$C$53</f>
        <v>16710</v>
      </c>
      <c r="D5" s="32" t="n">
        <f aca="false">B5/$B$10</f>
        <v>1.02093185234063</v>
      </c>
      <c r="E5" s="2" t="s">
        <v>144</v>
      </c>
    </row>
    <row r="6" customFormat="false" ht="15" hidden="false" customHeight="false" outlineLevel="0" collapsed="false">
      <c r="A6" s="5" t="s">
        <v>145</v>
      </c>
      <c r="B6" s="16" t="n">
        <v>0.06</v>
      </c>
      <c r="E6" s="2" t="s">
        <v>146</v>
      </c>
    </row>
    <row r="7" customFormat="false" ht="15" hidden="false" customHeight="false" outlineLevel="0" collapsed="false">
      <c r="A7" s="5" t="s">
        <v>147</v>
      </c>
      <c r="B7" s="10" t="n">
        <f aca="false">-B5*B6</f>
        <v>-48124.8</v>
      </c>
      <c r="C7" s="10" t="n">
        <f aca="false">B7/'Rent Roll'!$C$53</f>
        <v>-1002.6</v>
      </c>
      <c r="D7" s="32" t="n">
        <f aca="false">B7/$B$10</f>
        <v>-0.0612559111404377</v>
      </c>
    </row>
    <row r="8" customFormat="false" ht="15" hidden="false" customHeight="false" outlineLevel="0" collapsed="false">
      <c r="A8" s="5" t="s">
        <v>148</v>
      </c>
      <c r="B8" s="15" t="n">
        <v>55</v>
      </c>
      <c r="E8" s="2" t="s">
        <v>149</v>
      </c>
    </row>
    <row r="9" customFormat="false" ht="15" hidden="false" customHeight="false" outlineLevel="0" collapsed="false">
      <c r="A9" s="5" t="s">
        <v>150</v>
      </c>
      <c r="B9" s="10" t="n">
        <f aca="false">B8*12*'Rent Roll'!$C$53</f>
        <v>31680</v>
      </c>
      <c r="C9" s="10" t="n">
        <f aca="false">B9/'Rent Roll'!$C$53</f>
        <v>660</v>
      </c>
      <c r="D9" s="32" t="n">
        <f aca="false">B9/$B$10</f>
        <v>0.0403240587998094</v>
      </c>
    </row>
    <row r="10" customFormat="false" ht="15" hidden="false" customHeight="false" outlineLevel="0" collapsed="false">
      <c r="A10" s="26" t="s">
        <v>151</v>
      </c>
      <c r="B10" s="30" t="n">
        <f aca="false">B5+B7+B9</f>
        <v>785635.2</v>
      </c>
      <c r="C10" s="33" t="n">
        <f aca="false">B10/'Rent Roll'!$C$53</f>
        <v>16367.4</v>
      </c>
      <c r="D10" s="34" t="n">
        <f aca="false">B10/$B$10</f>
        <v>1</v>
      </c>
      <c r="E10" s="27"/>
    </row>
    <row r="12" customFormat="false" ht="15" hidden="false" customHeight="false" outlineLevel="0" collapsed="false">
      <c r="A12" s="3" t="s">
        <v>152</v>
      </c>
      <c r="B12" s="4"/>
      <c r="C12" s="4"/>
      <c r="D12" s="4"/>
      <c r="E12" s="4"/>
    </row>
    <row r="13" customFormat="false" ht="15" hidden="false" customHeight="false" outlineLevel="0" collapsed="false">
      <c r="A13" s="5" t="s">
        <v>153</v>
      </c>
      <c r="B13" s="15" t="n">
        <v>76800</v>
      </c>
      <c r="C13" s="10" t="n">
        <f aca="false">B13/'Rent Roll'!$C$53</f>
        <v>1600</v>
      </c>
      <c r="D13" s="32" t="n">
        <f aca="false">B13/$B$10</f>
        <v>0.097755294060144</v>
      </c>
      <c r="E13" s="2" t="s">
        <v>154</v>
      </c>
    </row>
    <row r="14" customFormat="false" ht="15" hidden="false" customHeight="false" outlineLevel="0" collapsed="false">
      <c r="A14" s="5" t="s">
        <v>155</v>
      </c>
      <c r="B14" s="15" t="n">
        <v>31200</v>
      </c>
      <c r="C14" s="10" t="n">
        <f aca="false">B14/'Rent Roll'!$C$53</f>
        <v>650</v>
      </c>
      <c r="D14" s="32" t="n">
        <f aca="false">B14/$B$10</f>
        <v>0.0397130882119335</v>
      </c>
      <c r="E14" s="2" t="s">
        <v>154</v>
      </c>
    </row>
    <row r="15" customFormat="false" ht="15" hidden="false" customHeight="false" outlineLevel="0" collapsed="false">
      <c r="A15" s="5" t="s">
        <v>156</v>
      </c>
      <c r="B15" s="15" t="n">
        <v>52800</v>
      </c>
      <c r="C15" s="10" t="n">
        <f aca="false">B15/'Rent Roll'!$C$53</f>
        <v>1100</v>
      </c>
      <c r="D15" s="32" t="n">
        <f aca="false">B15/$B$10</f>
        <v>0.067206764666349</v>
      </c>
      <c r="E15" s="2" t="s">
        <v>154</v>
      </c>
    </row>
    <row r="16" customFormat="false" ht="15" hidden="false" customHeight="false" outlineLevel="0" collapsed="false">
      <c r="A16" s="5" t="s">
        <v>157</v>
      </c>
      <c r="B16" s="15" t="n">
        <v>43200</v>
      </c>
      <c r="C16" s="10" t="n">
        <f aca="false">B16/'Rent Roll'!$C$53</f>
        <v>900</v>
      </c>
      <c r="D16" s="32" t="n">
        <f aca="false">B16/$B$10</f>
        <v>0.054987352908831</v>
      </c>
      <c r="E16" s="2" t="s">
        <v>154</v>
      </c>
    </row>
    <row r="17" customFormat="false" ht="15" hidden="false" customHeight="false" outlineLevel="0" collapsed="false">
      <c r="A17" s="5" t="s">
        <v>158</v>
      </c>
      <c r="B17" s="15" t="n">
        <v>57600</v>
      </c>
      <c r="C17" s="10" t="n">
        <f aca="false">B17/'Rent Roll'!$C$53</f>
        <v>1200</v>
      </c>
      <c r="D17" s="32" t="n">
        <f aca="false">B17/$B$10</f>
        <v>0.073316470545108</v>
      </c>
      <c r="E17" s="2" t="s">
        <v>154</v>
      </c>
    </row>
    <row r="18" customFormat="false" ht="15" hidden="false" customHeight="false" outlineLevel="0" collapsed="false">
      <c r="A18" s="5" t="s">
        <v>159</v>
      </c>
      <c r="B18" s="15" t="n">
        <v>19200</v>
      </c>
      <c r="C18" s="10" t="n">
        <f aca="false">B18/'Rent Roll'!$C$53</f>
        <v>400</v>
      </c>
      <c r="D18" s="32" t="n">
        <f aca="false">B18/$B$10</f>
        <v>0.024438823515036</v>
      </c>
      <c r="E18" s="2" t="s">
        <v>154</v>
      </c>
    </row>
    <row r="19" customFormat="false" ht="15" hidden="false" customHeight="false" outlineLevel="0" collapsed="false">
      <c r="A19" s="5" t="s">
        <v>160</v>
      </c>
      <c r="B19" s="15" t="n">
        <v>21600</v>
      </c>
      <c r="C19" s="10" t="n">
        <f aca="false">B19/'Rent Roll'!$C$53</f>
        <v>450</v>
      </c>
      <c r="D19" s="32" t="n">
        <f aca="false">B19/$B$10</f>
        <v>0.0274936764544155</v>
      </c>
      <c r="E19" s="2" t="s">
        <v>154</v>
      </c>
    </row>
    <row r="20" customFormat="false" ht="15" hidden="false" customHeight="false" outlineLevel="0" collapsed="false">
      <c r="A20" s="5" t="s">
        <v>161</v>
      </c>
      <c r="B20" s="10" t="n">
        <f aca="false">ROUND(B10*0.04,0)</f>
        <v>31425</v>
      </c>
      <c r="C20" s="10" t="n">
        <f aca="false">B20/'Rent Roll'!$C$53</f>
        <v>654.6875</v>
      </c>
      <c r="D20" s="32" t="n">
        <f aca="false">B20/$B$10</f>
        <v>0.0399994806750003</v>
      </c>
      <c r="E20" s="2" t="s">
        <v>162</v>
      </c>
    </row>
    <row r="21" customFormat="false" ht="15" hidden="false" customHeight="false" outlineLevel="0" collapsed="false">
      <c r="A21" s="5" t="s">
        <v>163</v>
      </c>
      <c r="B21" s="15" t="n">
        <v>39510</v>
      </c>
      <c r="C21" s="10" t="n">
        <f aca="false">B21/'Rent Roll'!$C$53</f>
        <v>823.125</v>
      </c>
      <c r="D21" s="32" t="n">
        <f aca="false">B21/$B$10</f>
        <v>0.050290516514535</v>
      </c>
      <c r="E21" s="2" t="s">
        <v>164</v>
      </c>
    </row>
    <row r="22" customFormat="false" ht="15" hidden="false" customHeight="false" outlineLevel="0" collapsed="false">
      <c r="A22" s="26" t="s">
        <v>165</v>
      </c>
      <c r="B22" s="30" t="n">
        <f aca="false">-SUM(B13:B21)</f>
        <v>-373335</v>
      </c>
      <c r="C22" s="33" t="n">
        <f aca="false">B22/'Rent Roll'!$C$53</f>
        <v>-7777.8125</v>
      </c>
      <c r="D22" s="34" t="n">
        <f aca="false">B22/$B$10</f>
        <v>-0.475201467551352</v>
      </c>
      <c r="E22" s="27"/>
    </row>
    <row r="24" customFormat="false" ht="15" hidden="false" customHeight="false" outlineLevel="0" collapsed="false">
      <c r="A24" s="35" t="s">
        <v>166</v>
      </c>
      <c r="B24" s="36" t="n">
        <f aca="false">B10+B22</f>
        <v>412300.2</v>
      </c>
      <c r="C24" s="37" t="n">
        <f aca="false">B24/'Rent Roll'!$C$53</f>
        <v>8589.5875</v>
      </c>
      <c r="D24" s="38" t="n">
        <f aca="false">B24/$B$10</f>
        <v>0.524798532448648</v>
      </c>
      <c r="E24" s="39"/>
    </row>
    <row r="26" customFormat="false" ht="15" hidden="false" customHeight="false" outlineLevel="0" collapsed="false">
      <c r="A26" s="5" t="s">
        <v>167</v>
      </c>
      <c r="B26" s="40" t="n">
        <f aca="false">B24/Assumptions!B5</f>
        <v>0.06607375</v>
      </c>
    </row>
    <row r="27" customFormat="false" ht="15" hidden="false" customHeight="false" outlineLevel="0" collapsed="false">
      <c r="A27" s="5" t="s">
        <v>9</v>
      </c>
      <c r="B27" s="10" t="n">
        <f aca="false">Assumptions!B5/'Rent Roll'!$C$53</f>
        <v>130000</v>
      </c>
    </row>
    <row r="28" customFormat="false" ht="15" hidden="false" customHeight="false" outlineLevel="0" collapsed="false">
      <c r="A28" s="5" t="s">
        <v>168</v>
      </c>
      <c r="B28" s="32" t="n">
        <f aca="false">-B22/B10</f>
        <v>0.475201467551352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5" min="2" style="0" width="16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169</v>
      </c>
    </row>
    <row r="2" customFormat="false" ht="15" hidden="false" customHeight="false" outlineLevel="0" collapsed="false">
      <c r="A2" s="2" t="s">
        <v>170</v>
      </c>
    </row>
    <row r="4" customFormat="false" ht="15" hidden="false" customHeight="false" outlineLevel="0" collapsed="false">
      <c r="A4" s="5" t="s">
        <v>7</v>
      </c>
      <c r="B4" s="8" t="n">
        <f aca="false">Assumptions!B5</f>
        <v>6240000</v>
      </c>
    </row>
    <row r="5" customFormat="false" ht="15" hidden="false" customHeight="false" outlineLevel="0" collapsed="false">
      <c r="A5" s="5" t="s">
        <v>39</v>
      </c>
      <c r="B5" s="9" t="n">
        <f aca="false">Assumptions!B7</f>
        <v>0.65</v>
      </c>
    </row>
    <row r="6" customFormat="false" ht="15" hidden="false" customHeight="false" outlineLevel="0" collapsed="false">
      <c r="A6" s="5" t="s">
        <v>17</v>
      </c>
      <c r="B6" s="41" t="n">
        <f aca="false">B4*B5</f>
        <v>4056000</v>
      </c>
    </row>
    <row r="7" customFormat="false" ht="15" hidden="false" customHeight="false" outlineLevel="0" collapsed="false">
      <c r="A7" s="5" t="s">
        <v>171</v>
      </c>
      <c r="B7" s="42" t="n">
        <f aca="false">Assumptions!B8</f>
        <v>0.065</v>
      </c>
    </row>
    <row r="8" customFormat="false" ht="15" hidden="false" customHeight="false" outlineLevel="0" collapsed="false">
      <c r="A8" s="5" t="s">
        <v>43</v>
      </c>
      <c r="B8" s="43" t="n">
        <f aca="false">Assumptions!B9</f>
        <v>30</v>
      </c>
    </row>
    <row r="9" customFormat="false" ht="15" hidden="false" customHeight="false" outlineLevel="0" collapsed="false">
      <c r="A9" s="5" t="s">
        <v>172</v>
      </c>
      <c r="B9" s="10" t="n">
        <f aca="false">-PMT(B7/12,B8*12,B6)</f>
        <v>25636.6790328746</v>
      </c>
    </row>
    <row r="10" customFormat="false" ht="15" hidden="false" customHeight="false" outlineLevel="0" collapsed="false">
      <c r="A10" s="5" t="s">
        <v>173</v>
      </c>
      <c r="B10" s="41" t="n">
        <f aca="false">B9*12</f>
        <v>307640.148394495</v>
      </c>
    </row>
    <row r="11" customFormat="false" ht="15" hidden="false" customHeight="false" outlineLevel="0" collapsed="false">
      <c r="A11" s="5" t="s">
        <v>174</v>
      </c>
      <c r="B11" s="10" t="n">
        <f aca="false">-FV(B7/12,60,-B9,B6)</f>
        <v>3796861.24502984</v>
      </c>
    </row>
    <row r="12" customFormat="false" ht="15" hidden="false" customHeight="false" outlineLevel="0" collapsed="false">
      <c r="A12" s="5" t="s">
        <v>175</v>
      </c>
      <c r="B12" s="44" t="n">
        <f aca="false">Operating!$B$24/B10</f>
        <v>1.34020283812663</v>
      </c>
    </row>
    <row r="13" customFormat="false" ht="15" hidden="false" customHeight="false" outlineLevel="0" collapsed="false">
      <c r="A13" s="5" t="s">
        <v>176</v>
      </c>
      <c r="B13" s="32" t="n">
        <f aca="false">Operating!$B$24/B6</f>
        <v>0.101651923076923</v>
      </c>
    </row>
    <row r="16" customFormat="false" ht="15" hidden="false" customHeight="false" outlineLevel="0" collapsed="false">
      <c r="A16" s="20" t="s">
        <v>177</v>
      </c>
      <c r="B16" s="21" t="s">
        <v>178</v>
      </c>
      <c r="C16" s="21" t="s">
        <v>179</v>
      </c>
      <c r="D16" s="21" t="s">
        <v>180</v>
      </c>
      <c r="E16" s="21" t="s">
        <v>181</v>
      </c>
      <c r="F16" s="21" t="s">
        <v>182</v>
      </c>
    </row>
    <row r="17" customFormat="false" ht="15" hidden="false" customHeight="false" outlineLevel="0" collapsed="false">
      <c r="A17" s="45" t="n">
        <v>1</v>
      </c>
      <c r="B17" s="10" t="n">
        <f aca="false">-CUMIPMT($B$7/12,$B$8*12,$B$6,(A17-1)*12+1,A17*12,0)</f>
        <v>262305.203373478</v>
      </c>
      <c r="C17" s="10" t="n">
        <f aca="false">-CUMPRINC($B$7/12,$B$8*12,$B$6,(A17-1)*12+1,A17*12,0)</f>
        <v>45334.9450210171</v>
      </c>
      <c r="D17" s="10" t="n">
        <f aca="false">B17+C17</f>
        <v>307640.148394495</v>
      </c>
      <c r="E17" s="10" t="n">
        <f aca="false">$B$6-SUM($C$17:C17)</f>
        <v>4010665.05497898</v>
      </c>
      <c r="F17" s="13" t="n">
        <f aca="false">'Cash Flow'!D6/D17</f>
        <v>1.38040892327043</v>
      </c>
    </row>
    <row r="18" customFormat="false" ht="15" hidden="false" customHeight="false" outlineLevel="0" collapsed="false">
      <c r="A18" s="45" t="n">
        <v>2</v>
      </c>
      <c r="B18" s="10" t="n">
        <f aca="false">-CUMIPMT($B$7/12,$B$8*12,$B$6,(A18-1)*12+1,A18*12,0)</f>
        <v>259269.038144987</v>
      </c>
      <c r="C18" s="10" t="n">
        <f aca="false">-CUMPRINC($B$7/12,$B$8*12,$B$6,(A18-1)*12+1,A18*12,0)</f>
        <v>48371.1102495081</v>
      </c>
      <c r="D18" s="10" t="n">
        <f aca="false">B18+C18</f>
        <v>307640.148394495</v>
      </c>
      <c r="E18" s="10" t="n">
        <f aca="false">$B$6-SUM($C$17:C18)</f>
        <v>3962293.94472948</v>
      </c>
      <c r="F18" s="13" t="n">
        <f aca="false">'Cash Flow'!E6/D18</f>
        <v>1.42182119096854</v>
      </c>
    </row>
    <row r="19" customFormat="false" ht="15" hidden="false" customHeight="false" outlineLevel="0" collapsed="false">
      <c r="A19" s="45" t="n">
        <v>3</v>
      </c>
      <c r="B19" s="10" t="n">
        <f aca="false">-CUMIPMT($B$7/12,$B$8*12,$B$6,(A19-1)*12+1,A19*12,0)</f>
        <v>256029.535308159</v>
      </c>
      <c r="C19" s="10" t="n">
        <f aca="false">-CUMPRINC($B$7/12,$B$8*12,$B$6,(A19-1)*12+1,A19*12,0)</f>
        <v>51610.6130863368</v>
      </c>
      <c r="D19" s="10" t="n">
        <f aca="false">B19+C19</f>
        <v>307640.148394495</v>
      </c>
      <c r="E19" s="10" t="n">
        <f aca="false">$B$6-SUM($C$17:C19)</f>
        <v>3910683.33164314</v>
      </c>
      <c r="F19" s="13" t="n">
        <f aca="false">'Cash Flow'!F6/D19</f>
        <v>1.4644758266976</v>
      </c>
    </row>
    <row r="20" customFormat="false" ht="15" hidden="false" customHeight="false" outlineLevel="0" collapsed="false">
      <c r="A20" s="45" t="n">
        <v>4</v>
      </c>
      <c r="B20" s="10" t="n">
        <f aca="false">-CUMIPMT($B$7/12,$B$8*12,$B$6,(A20-1)*12+1,A20*12,0)</f>
        <v>252573.07696678</v>
      </c>
      <c r="C20" s="10" t="n">
        <f aca="false">-CUMPRINC($B$7/12,$B$8*12,$B$6,(A20-1)*12+1,A20*12,0)</f>
        <v>55067.0714277155</v>
      </c>
      <c r="D20" s="10" t="n">
        <f aca="false">B20+C20</f>
        <v>307640.148394495</v>
      </c>
      <c r="E20" s="10" t="n">
        <f aca="false">$B$6-SUM($C$17:C20)</f>
        <v>3855616.26021542</v>
      </c>
      <c r="F20" s="13" t="n">
        <f aca="false">'Cash Flow'!G6/D20</f>
        <v>1.50841010149853</v>
      </c>
    </row>
    <row r="21" customFormat="false" ht="15" hidden="false" customHeight="false" outlineLevel="0" collapsed="false">
      <c r="A21" s="45" t="n">
        <v>5</v>
      </c>
      <c r="B21" s="10" t="n">
        <f aca="false">-CUMIPMT($B$7/12,$B$8*12,$B$6,(A21-1)*12+1,A21*12,0)</f>
        <v>248885.133208909</v>
      </c>
      <c r="C21" s="10" t="n">
        <f aca="false">-CUMPRINC($B$7/12,$B$8*12,$B$6,(A21-1)*12+1,A21*12,0)</f>
        <v>58755.0151855859</v>
      </c>
      <c r="D21" s="10" t="n">
        <f aca="false">B21+C21</f>
        <v>307640.148394495</v>
      </c>
      <c r="E21" s="10" t="n">
        <f aca="false">$B$6-SUM($C$17:C21)</f>
        <v>3796861.24502984</v>
      </c>
      <c r="F21" s="13" t="n">
        <f aca="false">'Cash Flow'!H6/D21</f>
        <v>1.55366240454348</v>
      </c>
    </row>
    <row r="23" customFormat="false" ht="15" hidden="false" customHeight="false" outlineLevel="0" collapsed="false">
      <c r="A23" s="2" t="s">
        <v>183</v>
      </c>
      <c r="E23" s="46" t="n">
        <f aca="false">ROUND(E21-B11,0)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8"/>
    <col collapsed="false" customWidth="true" hidden="false" outlineLevel="0" max="9" min="3" style="0" width="14"/>
  </cols>
  <sheetData>
    <row r="1" customFormat="false" ht="19.7" hidden="false" customHeight="false" outlineLevel="0" collapsed="false">
      <c r="A1" s="1" t="s">
        <v>184</v>
      </c>
    </row>
    <row r="2" customFormat="false" ht="15" hidden="false" customHeight="false" outlineLevel="0" collapsed="false">
      <c r="A2" s="2" t="s">
        <v>185</v>
      </c>
    </row>
    <row r="4" customFormat="false" ht="15" hidden="false" customHeight="false" outlineLevel="0" collapsed="false">
      <c r="A4" s="20" t="s">
        <v>186</v>
      </c>
      <c r="B4" s="21"/>
      <c r="C4" s="21" t="s">
        <v>187</v>
      </c>
      <c r="D4" s="21" t="s">
        <v>188</v>
      </c>
      <c r="E4" s="21" t="s">
        <v>189</v>
      </c>
      <c r="F4" s="21" t="s">
        <v>190</v>
      </c>
      <c r="G4" s="21" t="s">
        <v>191</v>
      </c>
      <c r="H4" s="21" t="s">
        <v>192</v>
      </c>
      <c r="I4" s="21" t="s">
        <v>193</v>
      </c>
    </row>
    <row r="5" customFormat="false" ht="15" hidden="false" customHeight="false" outlineLevel="0" collapsed="false">
      <c r="A5" s="2" t="s">
        <v>194</v>
      </c>
      <c r="C5" s="47" t="n">
        <v>0</v>
      </c>
      <c r="D5" s="47" t="n">
        <v>1</v>
      </c>
      <c r="E5" s="47" t="n">
        <v>2</v>
      </c>
      <c r="F5" s="47" t="n">
        <v>3</v>
      </c>
      <c r="G5" s="47" t="n">
        <v>4</v>
      </c>
      <c r="H5" s="47" t="n">
        <v>5</v>
      </c>
      <c r="I5" s="47" t="n">
        <v>6</v>
      </c>
    </row>
    <row r="6" customFormat="false" ht="15" hidden="false" customHeight="false" outlineLevel="0" collapsed="false">
      <c r="A6" s="14" t="s">
        <v>195</v>
      </c>
      <c r="C6" s="8" t="n">
        <f aca="false">Operating!$B$24</f>
        <v>412300.2</v>
      </c>
      <c r="D6" s="10" t="n">
        <f aca="false">$C$6*(1+Assumptions!$B$23)^D$5</f>
        <v>424669.206</v>
      </c>
      <c r="E6" s="10" t="n">
        <f aca="false">$C$6*(1+Assumptions!$B$23)^E$5</f>
        <v>437409.28218</v>
      </c>
      <c r="F6" s="10" t="n">
        <f aca="false">$C$6*(1+Assumptions!$B$23)^F$5</f>
        <v>450531.5606454</v>
      </c>
      <c r="G6" s="10" t="n">
        <f aca="false">$C$6*(1+Assumptions!$B$23)^G$5</f>
        <v>464047.507464762</v>
      </c>
      <c r="H6" s="10" t="n">
        <f aca="false">$C$6*(1+Assumptions!$B$23)^H$5</f>
        <v>477968.932688705</v>
      </c>
      <c r="I6" s="10" t="n">
        <f aca="false">$C$6*(1+Assumptions!$B$23)^I$5</f>
        <v>492308.000669366</v>
      </c>
    </row>
    <row r="7" customFormat="false" ht="15" hidden="false" customHeight="false" outlineLevel="0" collapsed="false">
      <c r="A7" s="5" t="s">
        <v>196</v>
      </c>
      <c r="D7" s="10" t="n">
        <f aca="false">-Assumptions!$B$12*'Rent Roll'!$C$53</f>
        <v>-0</v>
      </c>
      <c r="E7" s="10" t="n">
        <f aca="false">-Assumptions!$B$12*'Rent Roll'!$C$53</f>
        <v>-0</v>
      </c>
      <c r="F7" s="10" t="n">
        <f aca="false">-Assumptions!$B$12*'Rent Roll'!$C$53</f>
        <v>-0</v>
      </c>
      <c r="G7" s="10" t="n">
        <f aca="false">-Assumptions!$B$12*'Rent Roll'!$C$53</f>
        <v>-0</v>
      </c>
      <c r="H7" s="10" t="n">
        <f aca="false">-Assumptions!$B$12*'Rent Roll'!$C$53</f>
        <v>-0</v>
      </c>
    </row>
    <row r="8" customFormat="false" ht="15" hidden="false" customHeight="false" outlineLevel="0" collapsed="false">
      <c r="A8" s="5" t="s">
        <v>197</v>
      </c>
      <c r="D8" s="8" t="n">
        <f aca="false">-Debt!$B$10</f>
        <v>-307640.148394495</v>
      </c>
      <c r="E8" s="8" t="n">
        <f aca="false">-Debt!$B$10</f>
        <v>-307640.148394495</v>
      </c>
      <c r="F8" s="8" t="n">
        <f aca="false">-Debt!$B$10</f>
        <v>-307640.148394495</v>
      </c>
      <c r="G8" s="8" t="n">
        <f aca="false">-Debt!$B$10</f>
        <v>-307640.148394495</v>
      </c>
      <c r="H8" s="8" t="n">
        <f aca="false">-Debt!$B$10</f>
        <v>-307640.148394495</v>
      </c>
    </row>
    <row r="9" customFormat="false" ht="15" hidden="false" customHeight="false" outlineLevel="0" collapsed="false">
      <c r="A9" s="26" t="s">
        <v>198</v>
      </c>
      <c r="B9" s="27"/>
      <c r="C9" s="27"/>
      <c r="D9" s="30" t="n">
        <f aca="false">SUM(D6:D8)</f>
        <v>117029.057605505</v>
      </c>
      <c r="E9" s="30" t="n">
        <f aca="false">SUM(E6:E8)</f>
        <v>129769.133785505</v>
      </c>
      <c r="F9" s="30" t="n">
        <f aca="false">SUM(F6:F8)</f>
        <v>142891.412250905</v>
      </c>
      <c r="G9" s="30" t="n">
        <f aca="false">SUM(G6:G8)</f>
        <v>156407.359070267</v>
      </c>
      <c r="H9" s="30" t="n">
        <f aca="false">SUM(H6:H8)</f>
        <v>170328.784294209</v>
      </c>
    </row>
    <row r="11" customFormat="false" ht="15" hidden="false" customHeight="false" outlineLevel="0" collapsed="false">
      <c r="A11" s="3" t="s">
        <v>199</v>
      </c>
      <c r="B11" s="4"/>
      <c r="C11" s="4"/>
      <c r="D11" s="4"/>
      <c r="E11" s="4"/>
      <c r="F11" s="4"/>
      <c r="G11" s="4"/>
      <c r="H11" s="4"/>
      <c r="I11" s="4"/>
    </row>
    <row r="12" customFormat="false" ht="15" hidden="false" customHeight="false" outlineLevel="0" collapsed="false">
      <c r="A12" s="5" t="s">
        <v>200</v>
      </c>
      <c r="H12" s="10" t="n">
        <f aca="false">I6</f>
        <v>492308.000669366</v>
      </c>
    </row>
    <row r="13" customFormat="false" ht="15" hidden="false" customHeight="false" outlineLevel="0" collapsed="false">
      <c r="A13" s="5" t="s">
        <v>8</v>
      </c>
      <c r="H13" s="9" t="n">
        <f aca="false">Assumptions!B22</f>
        <v>0.069</v>
      </c>
    </row>
    <row r="14" customFormat="false" ht="15" hidden="false" customHeight="false" outlineLevel="0" collapsed="false">
      <c r="A14" s="5" t="s">
        <v>201</v>
      </c>
      <c r="H14" s="10" t="n">
        <f aca="false">H12/H13</f>
        <v>7134898.56042559</v>
      </c>
    </row>
    <row r="15" customFormat="false" ht="15" hidden="false" customHeight="false" outlineLevel="0" collapsed="false">
      <c r="A15" s="5" t="s">
        <v>202</v>
      </c>
      <c r="H15" s="10" t="n">
        <f aca="false">-H14*Assumptions!B11</f>
        <v>-142697.971208512</v>
      </c>
    </row>
    <row r="16" customFormat="false" ht="15" hidden="false" customHeight="false" outlineLevel="0" collapsed="false">
      <c r="A16" s="5" t="s">
        <v>203</v>
      </c>
      <c r="H16" s="8" t="n">
        <f aca="false">-Debt!B11</f>
        <v>-3796861.24502984</v>
      </c>
    </row>
    <row r="17" customFormat="false" ht="15" hidden="false" customHeight="false" outlineLevel="0" collapsed="false">
      <c r="A17" s="26" t="s">
        <v>204</v>
      </c>
      <c r="B17" s="27"/>
      <c r="C17" s="27"/>
      <c r="D17" s="27"/>
      <c r="E17" s="27"/>
      <c r="F17" s="27"/>
      <c r="G17" s="27"/>
      <c r="H17" s="30" t="n">
        <f aca="false">SUM(H14:H16)</f>
        <v>3195339.34418724</v>
      </c>
    </row>
    <row r="19" customFormat="false" ht="15" hidden="false" customHeight="false" outlineLevel="0" collapsed="false">
      <c r="A19" s="3" t="s">
        <v>205</v>
      </c>
      <c r="B19" s="4"/>
      <c r="C19" s="4"/>
      <c r="D19" s="4"/>
      <c r="E19" s="4"/>
      <c r="F19" s="4"/>
      <c r="G19" s="4"/>
      <c r="H19" s="4"/>
      <c r="I19" s="4"/>
    </row>
    <row r="20" customFormat="false" ht="15" hidden="false" customHeight="false" outlineLevel="0" collapsed="false">
      <c r="A20" s="5" t="s">
        <v>206</v>
      </c>
      <c r="C20" s="10" t="n">
        <f aca="false">-(Assumptions!B5*(1+Assumptions!B6)-Debt!B6)</f>
        <v>-2308800</v>
      </c>
    </row>
    <row r="21" customFormat="false" ht="15" hidden="false" customHeight="false" outlineLevel="0" collapsed="false">
      <c r="A21" s="5" t="s">
        <v>198</v>
      </c>
      <c r="D21" s="10" t="n">
        <f aca="false">D9</f>
        <v>117029.057605505</v>
      </c>
      <c r="E21" s="10" t="n">
        <f aca="false">E9</f>
        <v>129769.133785505</v>
      </c>
      <c r="F21" s="10" t="n">
        <f aca="false">F9</f>
        <v>142891.412250905</v>
      </c>
      <c r="G21" s="10" t="n">
        <f aca="false">G9</f>
        <v>156407.359070267</v>
      </c>
      <c r="H21" s="10" t="n">
        <f aca="false">H9</f>
        <v>170328.784294209</v>
      </c>
    </row>
    <row r="22" customFormat="false" ht="15" hidden="false" customHeight="false" outlineLevel="0" collapsed="false">
      <c r="A22" s="5" t="s">
        <v>204</v>
      </c>
      <c r="H22" s="10" t="n">
        <f aca="false">H17</f>
        <v>3195339.34418724</v>
      </c>
    </row>
    <row r="23" customFormat="false" ht="15" hidden="false" customHeight="false" outlineLevel="0" collapsed="false">
      <c r="A23" s="26" t="s">
        <v>207</v>
      </c>
      <c r="B23" s="27"/>
      <c r="C23" s="30" t="n">
        <f aca="false">C20</f>
        <v>-2308800</v>
      </c>
      <c r="D23" s="30" t="n">
        <f aca="false">D21+D22</f>
        <v>117029.057605505</v>
      </c>
      <c r="E23" s="30" t="n">
        <f aca="false">E21+E22</f>
        <v>129769.133785505</v>
      </c>
      <c r="F23" s="30" t="n">
        <f aca="false">F21+F22</f>
        <v>142891.412250905</v>
      </c>
      <c r="G23" s="30" t="n">
        <f aca="false">G21+G22</f>
        <v>156407.359070267</v>
      </c>
      <c r="H23" s="30" t="n">
        <f aca="false">H21+H22</f>
        <v>3365668.12848145</v>
      </c>
    </row>
    <row r="25" customFormat="false" ht="15" hidden="false" customHeight="false" outlineLevel="0" collapsed="false">
      <c r="A25" s="3" t="s">
        <v>3</v>
      </c>
      <c r="B25" s="4"/>
      <c r="C25" s="4"/>
      <c r="D25" s="4"/>
      <c r="E25" s="4"/>
      <c r="F25" s="4"/>
      <c r="G25" s="4"/>
      <c r="H25" s="4"/>
      <c r="I25" s="4"/>
    </row>
    <row r="26" customFormat="false" ht="15" hidden="false" customHeight="false" outlineLevel="0" collapsed="false">
      <c r="A26" s="14" t="s">
        <v>208</v>
      </c>
      <c r="C26" s="11" t="n">
        <f aca="false">IRR(C23:H23)</f>
        <v>0.121065243133482</v>
      </c>
    </row>
    <row r="27" customFormat="false" ht="15" hidden="false" customHeight="false" outlineLevel="0" collapsed="false">
      <c r="A27" s="14" t="s">
        <v>14</v>
      </c>
      <c r="C27" s="12" t="n">
        <f aca="false">SUM(D23:H23)/-C23</f>
        <v>1.69428494940819</v>
      </c>
    </row>
    <row r="28" customFormat="false" ht="15" hidden="false" customHeight="false" outlineLevel="0" collapsed="false">
      <c r="A28" s="5" t="s">
        <v>209</v>
      </c>
      <c r="C28" s="22" t="n">
        <f aca="false">AVERAGE(D21:H21)/-C20</f>
        <v>0.0620604423948709</v>
      </c>
    </row>
    <row r="29" customFormat="false" ht="15" hidden="false" customHeight="false" outlineLevel="0" collapsed="false">
      <c r="A29" s="5" t="s">
        <v>18</v>
      </c>
      <c r="C29" s="41" t="n">
        <f aca="false">SUM(C23:H23)</f>
        <v>1602965.09119363</v>
      </c>
    </row>
    <row r="30" customFormat="false" ht="15" hidden="false" customHeight="false" outlineLevel="0" collapsed="false">
      <c r="A30" s="5" t="s">
        <v>210</v>
      </c>
      <c r="C30" s="41" t="n">
        <f aca="false">-C20</f>
        <v>2308800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8"/>
    <col collapsed="false" customWidth="true" hidden="false" outlineLevel="0" max="8" min="3" style="0" width="14"/>
  </cols>
  <sheetData>
    <row r="1" customFormat="false" ht="19.7" hidden="false" customHeight="false" outlineLevel="0" collapsed="false">
      <c r="A1" s="1" t="s">
        <v>211</v>
      </c>
    </row>
    <row r="2" customFormat="false" ht="15" hidden="false" customHeight="false" outlineLevel="0" collapsed="false">
      <c r="A2" s="2" t="s">
        <v>212</v>
      </c>
    </row>
    <row r="4" customFormat="false" ht="15" hidden="false" customHeight="false" outlineLevel="0" collapsed="false">
      <c r="A4" s="20" t="s">
        <v>186</v>
      </c>
      <c r="B4" s="21"/>
      <c r="C4" s="21" t="s">
        <v>187</v>
      </c>
      <c r="D4" s="21" t="s">
        <v>188</v>
      </c>
      <c r="E4" s="21" t="s">
        <v>189</v>
      </c>
      <c r="F4" s="21" t="s">
        <v>190</v>
      </c>
      <c r="G4" s="21" t="s">
        <v>191</v>
      </c>
      <c r="H4" s="21" t="s">
        <v>192</v>
      </c>
    </row>
    <row r="5" customFormat="false" ht="15" hidden="false" customHeight="false" outlineLevel="0" collapsed="false">
      <c r="A5" s="5" t="s">
        <v>213</v>
      </c>
      <c r="C5" s="8" t="n">
        <f aca="false">-'Cash Flow'!C20</f>
        <v>2308800</v>
      </c>
    </row>
    <row r="6" customFormat="false" ht="15" hidden="false" customHeight="false" outlineLevel="0" collapsed="false">
      <c r="A6" s="14" t="s">
        <v>214</v>
      </c>
      <c r="D6" s="8" t="n">
        <f aca="false">'Cash Flow'!D21+'Cash Flow'!D22</f>
        <v>117029.057605505</v>
      </c>
      <c r="E6" s="8" t="n">
        <f aca="false">'Cash Flow'!E21+'Cash Flow'!E22</f>
        <v>129769.133785505</v>
      </c>
      <c r="F6" s="8" t="n">
        <f aca="false">'Cash Flow'!F21+'Cash Flow'!F22</f>
        <v>142891.412250905</v>
      </c>
      <c r="G6" s="8" t="n">
        <f aca="false">'Cash Flow'!G21+'Cash Flow'!G22</f>
        <v>156407.359070267</v>
      </c>
      <c r="H6" s="8" t="n">
        <f aca="false">'Cash Flow'!H21+'Cash Flow'!H22</f>
        <v>3365668.12848145</v>
      </c>
    </row>
    <row r="8" customFormat="false" ht="15" hidden="false" customHeight="false" outlineLevel="0" collapsed="false">
      <c r="A8" s="3" t="s">
        <v>215</v>
      </c>
      <c r="B8" s="4"/>
      <c r="C8" s="4"/>
      <c r="D8" s="4"/>
      <c r="E8" s="4"/>
      <c r="F8" s="4"/>
      <c r="G8" s="4"/>
      <c r="H8" s="4"/>
    </row>
    <row r="9" customFormat="false" ht="15" hidden="false" customHeight="false" outlineLevel="0" collapsed="false">
      <c r="A9" s="5" t="s">
        <v>216</v>
      </c>
      <c r="D9" s="10" t="n">
        <f aca="false">C13</f>
        <v>2308800</v>
      </c>
      <c r="E9" s="10" t="n">
        <f aca="false">D13</f>
        <v>2376474.9423945</v>
      </c>
      <c r="F9" s="10" t="n">
        <f aca="false">E13</f>
        <v>2436823.80400055</v>
      </c>
      <c r="G9" s="10" t="n">
        <f aca="false">F13</f>
        <v>2488878.29606969</v>
      </c>
      <c r="H9" s="10" t="n">
        <f aca="false">G13</f>
        <v>2531581.200685</v>
      </c>
    </row>
    <row r="10" customFormat="false" ht="15" hidden="false" customHeight="false" outlineLevel="0" collapsed="false">
      <c r="A10" s="5" t="s">
        <v>217</v>
      </c>
      <c r="C10" s="10" t="n">
        <f aca="false">C9*Assumptions!$B$26</f>
        <v>0</v>
      </c>
      <c r="D10" s="10" t="n">
        <f aca="false">D9*Assumptions!$B$26</f>
        <v>184704</v>
      </c>
      <c r="E10" s="10" t="n">
        <f aca="false">E9*Assumptions!$B$26</f>
        <v>190117.99539156</v>
      </c>
      <c r="F10" s="10" t="n">
        <f aca="false">F9*Assumptions!$B$26</f>
        <v>194945.904320044</v>
      </c>
      <c r="G10" s="10" t="n">
        <f aca="false">G9*Assumptions!$B$26</f>
        <v>199110.263685575</v>
      </c>
      <c r="H10" s="10" t="n">
        <f aca="false">H9*Assumptions!$B$26</f>
        <v>202526.4960548</v>
      </c>
    </row>
    <row r="11" customFormat="false" ht="15" hidden="false" customHeight="false" outlineLevel="0" collapsed="false">
      <c r="A11" s="5" t="s">
        <v>218</v>
      </c>
      <c r="C11" s="10" t="n">
        <f aca="false">C5</f>
        <v>2308800</v>
      </c>
    </row>
    <row r="12" customFormat="false" ht="15" hidden="false" customHeight="false" outlineLevel="0" collapsed="false">
      <c r="A12" s="5" t="s">
        <v>219</v>
      </c>
      <c r="C12" s="10" t="n">
        <f aca="false">MIN(C6,C9+C10)</f>
        <v>0</v>
      </c>
      <c r="D12" s="10" t="n">
        <f aca="false">MIN(D6,D9+D10)</f>
        <v>117029.057605505</v>
      </c>
      <c r="E12" s="10" t="n">
        <f aca="false">MIN(E6,E9+E10)</f>
        <v>129769.133785505</v>
      </c>
      <c r="F12" s="10" t="n">
        <f aca="false">MIN(F6,F9+F10)</f>
        <v>142891.412250905</v>
      </c>
      <c r="G12" s="10" t="n">
        <f aca="false">MIN(G6,G9+G10)</f>
        <v>156407.359070267</v>
      </c>
      <c r="H12" s="10" t="n">
        <f aca="false">MIN(H6,H9+H10)</f>
        <v>2734107.6967398</v>
      </c>
    </row>
    <row r="13" customFormat="false" ht="15" hidden="false" customHeight="false" outlineLevel="0" collapsed="false">
      <c r="A13" s="5" t="s">
        <v>181</v>
      </c>
      <c r="C13" s="41" t="n">
        <f aca="false">C9+C10+C11-C12</f>
        <v>2308800</v>
      </c>
      <c r="D13" s="41" t="n">
        <f aca="false">D9+D10+D11-D12</f>
        <v>2376474.9423945</v>
      </c>
      <c r="E13" s="41" t="n">
        <f aca="false">E9+E10+E11-E12</f>
        <v>2436823.80400055</v>
      </c>
      <c r="F13" s="41" t="n">
        <f aca="false">F9+F10+F11-F12</f>
        <v>2488878.29606969</v>
      </c>
      <c r="G13" s="41" t="n">
        <f aca="false">G9+G10+G11-G12</f>
        <v>2531581.200685</v>
      </c>
      <c r="H13" s="41" t="n">
        <f aca="false">H9+H10+H11-H12</f>
        <v>0</v>
      </c>
    </row>
    <row r="15" customFormat="false" ht="15" hidden="false" customHeight="false" outlineLevel="0" collapsed="false">
      <c r="A15" s="3" t="s">
        <v>220</v>
      </c>
      <c r="B15" s="4"/>
      <c r="C15" s="4"/>
      <c r="D15" s="4"/>
      <c r="E15" s="4"/>
      <c r="F15" s="4"/>
      <c r="G15" s="4"/>
      <c r="H15" s="4"/>
    </row>
    <row r="16" customFormat="false" ht="15" hidden="false" customHeight="false" outlineLevel="0" collapsed="false">
      <c r="A16" s="5" t="s">
        <v>216</v>
      </c>
      <c r="D16" s="10" t="n">
        <f aca="false">C21</f>
        <v>2308800</v>
      </c>
      <c r="E16" s="10" t="n">
        <f aca="false">D21</f>
        <v>2468826.9423945</v>
      </c>
      <c r="F16" s="10" t="n">
        <f aca="false">E21</f>
        <v>2635317.04169633</v>
      </c>
      <c r="G16" s="10" t="n">
        <f aca="false">F21</f>
        <v>2808663.67444899</v>
      </c>
      <c r="H16" s="10" t="n">
        <f aca="false">G21</f>
        <v>2989295.9563126</v>
      </c>
    </row>
    <row r="17" customFormat="false" ht="15" hidden="false" customHeight="false" outlineLevel="0" collapsed="false">
      <c r="A17" s="5" t="s">
        <v>217</v>
      </c>
      <c r="C17" s="10" t="n">
        <f aca="false">C16*Assumptions!$B$27</f>
        <v>0</v>
      </c>
      <c r="D17" s="10" t="n">
        <f aca="false">D16*Assumptions!$B$27</f>
        <v>277056</v>
      </c>
      <c r="E17" s="10" t="n">
        <f aca="false">E16*Assumptions!$B$27</f>
        <v>296259.233087339</v>
      </c>
      <c r="F17" s="10" t="n">
        <f aca="false">F16*Assumptions!$B$27</f>
        <v>316238.04500356</v>
      </c>
      <c r="G17" s="10" t="n">
        <f aca="false">G16*Assumptions!$B$27</f>
        <v>337039.640933878</v>
      </c>
      <c r="H17" s="10" t="n">
        <f aca="false">H16*Assumptions!$B$27</f>
        <v>358715.514757512</v>
      </c>
    </row>
    <row r="18" customFormat="false" ht="15" hidden="false" customHeight="false" outlineLevel="0" collapsed="false">
      <c r="A18" s="5" t="s">
        <v>218</v>
      </c>
      <c r="C18" s="10" t="n">
        <f aca="false">C5</f>
        <v>2308800</v>
      </c>
    </row>
    <row r="19" customFormat="false" ht="15" hidden="false" customHeight="false" outlineLevel="0" collapsed="false">
      <c r="A19" s="5" t="s">
        <v>221</v>
      </c>
      <c r="C19" s="10" t="n">
        <f aca="false">C16+C17+C18-C12</f>
        <v>2308800</v>
      </c>
      <c r="D19" s="10" t="n">
        <f aca="false">D16+D17+D18-D12</f>
        <v>2468826.9423945</v>
      </c>
      <c r="E19" s="10" t="n">
        <f aca="false">E16+E17+E18-E12</f>
        <v>2635317.04169633</v>
      </c>
      <c r="F19" s="10" t="n">
        <f aca="false">F16+F17+F18-F12</f>
        <v>2808663.67444899</v>
      </c>
      <c r="G19" s="10" t="n">
        <f aca="false">G16+G17+G18-G12</f>
        <v>2989295.9563126</v>
      </c>
      <c r="H19" s="10" t="n">
        <f aca="false">H16+H17+H18-H12</f>
        <v>613903.774330311</v>
      </c>
    </row>
    <row r="20" customFormat="false" ht="15" hidden="false" customHeight="false" outlineLevel="0" collapsed="false">
      <c r="A20" s="5" t="s">
        <v>222</v>
      </c>
      <c r="C20" s="10" t="n">
        <f aca="false">MAX(0,MIN(C6-C12,MAX(0,C19)/Assumptions!$B$29))</f>
        <v>0</v>
      </c>
      <c r="D20" s="10" t="n">
        <f aca="false">MAX(0,MIN(D6-D12,MAX(0,D19)/Assumptions!$B$29))</f>
        <v>0</v>
      </c>
      <c r="E20" s="10" t="n">
        <f aca="false">MAX(0,MIN(E6-E12,MAX(0,E19)/Assumptions!$B$29))</f>
        <v>0</v>
      </c>
      <c r="F20" s="10" t="n">
        <f aca="false">MAX(0,MIN(F6-F12,MAX(0,F19)/Assumptions!$B$29))</f>
        <v>0</v>
      </c>
      <c r="G20" s="10" t="n">
        <f aca="false">MAX(0,MIN(G6-G12,MAX(0,G19)/Assumptions!$B$29))</f>
        <v>0</v>
      </c>
      <c r="H20" s="10" t="n">
        <f aca="false">MAX(0,MIN(H6-H12,MAX(0,H19)/Assumptions!$B$29))</f>
        <v>631560.431741654</v>
      </c>
    </row>
    <row r="21" customFormat="false" ht="15" hidden="false" customHeight="false" outlineLevel="0" collapsed="false">
      <c r="A21" s="5" t="s">
        <v>181</v>
      </c>
      <c r="C21" s="41" t="n">
        <f aca="false">C19-C20*Assumptions!$B$29</f>
        <v>2308800</v>
      </c>
      <c r="D21" s="41" t="n">
        <f aca="false">D19-D20*Assumptions!$B$29</f>
        <v>2468826.9423945</v>
      </c>
      <c r="E21" s="41" t="n">
        <f aca="false">E19-E20*Assumptions!$B$29</f>
        <v>2635317.04169633</v>
      </c>
      <c r="F21" s="41" t="n">
        <f aca="false">F19-F20*Assumptions!$B$29</f>
        <v>2808663.67444899</v>
      </c>
      <c r="G21" s="41" t="n">
        <f aca="false">G19-G20*Assumptions!$B$29</f>
        <v>2989295.9563126</v>
      </c>
      <c r="H21" s="41" t="n">
        <f aca="false">H19-H20*Assumptions!$B$29</f>
        <v>45499.385762822</v>
      </c>
    </row>
    <row r="23" customFormat="false" ht="15" hidden="false" customHeight="false" outlineLevel="0" collapsed="false">
      <c r="A23" s="3" t="s">
        <v>223</v>
      </c>
      <c r="B23" s="4"/>
      <c r="C23" s="4"/>
      <c r="D23" s="4"/>
      <c r="E23" s="4"/>
      <c r="F23" s="4"/>
      <c r="G23" s="4"/>
      <c r="H23" s="4"/>
    </row>
    <row r="24" customFormat="false" ht="15" hidden="false" customHeight="false" outlineLevel="0" collapsed="false">
      <c r="A24" s="5" t="s">
        <v>216</v>
      </c>
      <c r="D24" s="10" t="n">
        <f aca="false">C29</f>
        <v>2308800</v>
      </c>
      <c r="E24" s="10" t="n">
        <f aca="false">D29</f>
        <v>2561178.9423945</v>
      </c>
      <c r="F24" s="10" t="n">
        <f aca="false">E29</f>
        <v>2841198.43939211</v>
      </c>
      <c r="G24" s="10" t="n">
        <f aca="false">F29</f>
        <v>3152898.77744394</v>
      </c>
      <c r="H24" s="10" t="n">
        <f aca="false">G29</f>
        <v>3500955.22276471</v>
      </c>
    </row>
    <row r="25" customFormat="false" ht="15" hidden="false" customHeight="false" outlineLevel="0" collapsed="false">
      <c r="A25" s="5" t="s">
        <v>217</v>
      </c>
      <c r="C25" s="10" t="n">
        <f aca="false">C24*Assumptions!$B$28</f>
        <v>0</v>
      </c>
      <c r="D25" s="10" t="n">
        <f aca="false">D24*Assumptions!$B$28</f>
        <v>369408</v>
      </c>
      <c r="E25" s="10" t="n">
        <f aca="false">E24*Assumptions!$B$28</f>
        <v>409788.630783119</v>
      </c>
      <c r="F25" s="10" t="n">
        <f aca="false">F24*Assumptions!$B$28</f>
        <v>454591.750302738</v>
      </c>
      <c r="G25" s="10" t="n">
        <f aca="false">G24*Assumptions!$B$28</f>
        <v>504463.804391031</v>
      </c>
      <c r="H25" s="10" t="n">
        <f aca="false">H24*Assumptions!$B$28</f>
        <v>560152.835642353</v>
      </c>
    </row>
    <row r="26" customFormat="false" ht="15" hidden="false" customHeight="false" outlineLevel="0" collapsed="false">
      <c r="A26" s="5" t="s">
        <v>218</v>
      </c>
      <c r="C26" s="10" t="n">
        <f aca="false">C5</f>
        <v>2308800</v>
      </c>
    </row>
    <row r="27" customFormat="false" ht="15" hidden="false" customHeight="false" outlineLevel="0" collapsed="false">
      <c r="A27" s="5" t="s">
        <v>224</v>
      </c>
      <c r="C27" s="10" t="n">
        <f aca="false">C24+C25+C26-C12-C20*Assumptions!$B$29</f>
        <v>2308800</v>
      </c>
      <c r="D27" s="10" t="n">
        <f aca="false">D24+D25+D26-D12-D20*Assumptions!$B$29</f>
        <v>2561178.9423945</v>
      </c>
      <c r="E27" s="10" t="n">
        <f aca="false">E24+E25+E26-E12-E20*Assumptions!$B$29</f>
        <v>2841198.43939211</v>
      </c>
      <c r="F27" s="10" t="n">
        <f aca="false">F24+F25+F26-F12-F20*Assumptions!$B$29</f>
        <v>3152898.77744394</v>
      </c>
      <c r="G27" s="10" t="n">
        <f aca="false">G24+G25+G26-G12-G20*Assumptions!$B$29</f>
        <v>3500955.22276471</v>
      </c>
      <c r="H27" s="10" t="n">
        <f aca="false">H24+H25+H26-H12-H20*Assumptions!$B$29</f>
        <v>758595.973099774</v>
      </c>
    </row>
    <row r="28" customFormat="false" ht="15" hidden="false" customHeight="false" outlineLevel="0" collapsed="false">
      <c r="A28" s="5" t="s">
        <v>225</v>
      </c>
      <c r="C28" s="10" t="n">
        <f aca="false">MAX(0,MIN(C6-C12-C20,MAX(0,C27)/Assumptions!$B$30))</f>
        <v>0</v>
      </c>
      <c r="D28" s="10" t="n">
        <f aca="false">MAX(0,MIN(D6-D12-D20,MAX(0,D27)/Assumptions!$B$30))</f>
        <v>0</v>
      </c>
      <c r="E28" s="10" t="n">
        <f aca="false">MAX(0,MIN(E6-E12-E20,MAX(0,E27)/Assumptions!$B$30))</f>
        <v>0</v>
      </c>
      <c r="F28" s="10" t="n">
        <f aca="false">MAX(0,MIN(F6-F12-F20,MAX(0,F27)/Assumptions!$B$30))</f>
        <v>0</v>
      </c>
      <c r="G28" s="10" t="n">
        <f aca="false">MAX(0,MIN(G6-G12-G20,MAX(0,G27)/Assumptions!$B$30))</f>
        <v>0</v>
      </c>
      <c r="H28" s="10" t="n">
        <f aca="false">MAX(0,MIN(H6-H12-H20,MAX(0,H27)/Assumptions!$B$30))</f>
        <v>0</v>
      </c>
    </row>
    <row r="29" customFormat="false" ht="15" hidden="false" customHeight="false" outlineLevel="0" collapsed="false">
      <c r="A29" s="5" t="s">
        <v>181</v>
      </c>
      <c r="C29" s="41" t="n">
        <f aca="false">C27-C28*Assumptions!$B$30</f>
        <v>2308800</v>
      </c>
      <c r="D29" s="41" t="n">
        <f aca="false">D27-D28*Assumptions!$B$30</f>
        <v>2561178.9423945</v>
      </c>
      <c r="E29" s="41" t="n">
        <f aca="false">E27-E28*Assumptions!$B$30</f>
        <v>2841198.43939211</v>
      </c>
      <c r="F29" s="41" t="n">
        <f aca="false">F27-F28*Assumptions!$B$30</f>
        <v>3152898.77744394</v>
      </c>
      <c r="G29" s="41" t="n">
        <f aca="false">G27-G28*Assumptions!$B$30</f>
        <v>3500955.22276471</v>
      </c>
      <c r="H29" s="41" t="n">
        <f aca="false">H27-H28*Assumptions!$B$30</f>
        <v>758595.973099774</v>
      </c>
    </row>
    <row r="31" customFormat="false" ht="15" hidden="false" customHeight="false" outlineLevel="0" collapsed="false">
      <c r="A31" s="3" t="s">
        <v>226</v>
      </c>
      <c r="B31" s="4"/>
      <c r="C31" s="4"/>
      <c r="D31" s="4"/>
      <c r="E31" s="4"/>
      <c r="F31" s="4"/>
      <c r="G31" s="4"/>
      <c r="H31" s="4"/>
    </row>
    <row r="32" customFormat="false" ht="15" hidden="false" customHeight="false" outlineLevel="0" collapsed="false">
      <c r="A32" s="5" t="s">
        <v>227</v>
      </c>
      <c r="C32" s="10" t="n">
        <f aca="false">C6-C12-C20-C28</f>
        <v>0</v>
      </c>
      <c r="D32" s="10" t="n">
        <f aca="false">D6-D12-D20-D28</f>
        <v>0</v>
      </c>
      <c r="E32" s="10" t="n">
        <f aca="false">E6-E12-E20-E28</f>
        <v>0</v>
      </c>
      <c r="F32" s="10" t="n">
        <f aca="false">F6-F12-F20-F28</f>
        <v>0</v>
      </c>
      <c r="G32" s="10" t="n">
        <f aca="false">G6-G12-G20-G28</f>
        <v>0</v>
      </c>
      <c r="H32" s="10" t="n">
        <f aca="false">H6-H12-H20-H28</f>
        <v>0</v>
      </c>
    </row>
    <row r="34" customFormat="false" ht="15" hidden="false" customHeight="false" outlineLevel="0" collapsed="false">
      <c r="A34" s="3" t="s">
        <v>228</v>
      </c>
      <c r="B34" s="4"/>
      <c r="C34" s="4"/>
      <c r="D34" s="4"/>
      <c r="E34" s="4"/>
      <c r="F34" s="4"/>
      <c r="G34" s="4"/>
      <c r="H34" s="4"/>
    </row>
    <row r="35" customFormat="false" ht="15" hidden="false" customHeight="false" outlineLevel="0" collapsed="false">
      <c r="A35" s="14" t="s">
        <v>229</v>
      </c>
      <c r="C35" s="10" t="n">
        <f aca="false">C12+C20*Assumptions!$B$29+C28*Assumptions!$B$30+C32*Assumptions!$B$31</f>
        <v>0</v>
      </c>
      <c r="D35" s="10" t="n">
        <f aca="false">D12+D20*Assumptions!$B$29+D28*Assumptions!$B$30+D32*Assumptions!$B$31</f>
        <v>117029.057605505</v>
      </c>
      <c r="E35" s="10" t="n">
        <f aca="false">E12+E20*Assumptions!$B$29+E28*Assumptions!$B$30+E32*Assumptions!$B$31</f>
        <v>129769.133785505</v>
      </c>
      <c r="F35" s="10" t="n">
        <f aca="false">F12+F20*Assumptions!$B$29+F28*Assumptions!$B$30+F32*Assumptions!$B$31</f>
        <v>142891.412250905</v>
      </c>
      <c r="G35" s="10" t="n">
        <f aca="false">G12+G20*Assumptions!$B$29+G28*Assumptions!$B$30+G32*Assumptions!$B$31</f>
        <v>156407.359070267</v>
      </c>
      <c r="H35" s="10" t="n">
        <f aca="false">H12+H20*Assumptions!$B$29+H28*Assumptions!$B$30+H32*Assumptions!$B$31</f>
        <v>3302512.08530729</v>
      </c>
    </row>
    <row r="36" customFormat="false" ht="15" hidden="false" customHeight="false" outlineLevel="0" collapsed="false">
      <c r="A36" s="14" t="s">
        <v>230</v>
      </c>
      <c r="C36" s="10" t="n">
        <f aca="false">C20*(1-Assumptions!$B$29)+C28*(1-Assumptions!$B$30)+C32*(1-Assumptions!$B$31)</f>
        <v>0</v>
      </c>
      <c r="D36" s="10" t="n">
        <f aca="false">D20*(1-Assumptions!$B$29)+D28*(1-Assumptions!$B$30)+D32*(1-Assumptions!$B$31)</f>
        <v>0</v>
      </c>
      <c r="E36" s="10" t="n">
        <f aca="false">E20*(1-Assumptions!$B$29)+E28*(1-Assumptions!$B$30)+E32*(1-Assumptions!$B$31)</f>
        <v>0</v>
      </c>
      <c r="F36" s="10" t="n">
        <f aca="false">F20*(1-Assumptions!$B$29)+F28*(1-Assumptions!$B$30)+F32*(1-Assumptions!$B$31)</f>
        <v>0</v>
      </c>
      <c r="G36" s="10" t="n">
        <f aca="false">G20*(1-Assumptions!$B$29)+G28*(1-Assumptions!$B$30)+G32*(1-Assumptions!$B$31)</f>
        <v>0</v>
      </c>
      <c r="H36" s="10" t="n">
        <f aca="false">H20*(1-Assumptions!$B$29)+H28*(1-Assumptions!$B$30)+H32*(1-Assumptions!$B$31)</f>
        <v>63156.0431741654</v>
      </c>
    </row>
    <row r="37" customFormat="false" ht="15" hidden="false" customHeight="false" outlineLevel="0" collapsed="false">
      <c r="A37" s="5" t="s">
        <v>231</v>
      </c>
      <c r="C37" s="10" t="n">
        <f aca="false">-C5</f>
        <v>-2308800</v>
      </c>
      <c r="D37" s="10" t="n">
        <f aca="false">D35</f>
        <v>117029.057605505</v>
      </c>
      <c r="E37" s="10" t="n">
        <f aca="false">E35</f>
        <v>129769.133785505</v>
      </c>
      <c r="F37" s="10" t="n">
        <f aca="false">F35</f>
        <v>142891.412250905</v>
      </c>
      <c r="G37" s="10" t="n">
        <f aca="false">G35</f>
        <v>156407.359070267</v>
      </c>
      <c r="H37" s="10" t="n">
        <f aca="false">H35</f>
        <v>3302512.08530729</v>
      </c>
    </row>
    <row r="39" customFormat="false" ht="15" hidden="false" customHeight="false" outlineLevel="0" collapsed="false">
      <c r="A39" s="14" t="s">
        <v>232</v>
      </c>
      <c r="C39" s="11" t="n">
        <f aca="false">IRR(C37:H37)</f>
        <v>0.117235218974694</v>
      </c>
    </row>
    <row r="40" customFormat="false" ht="15" hidden="false" customHeight="false" outlineLevel="0" collapsed="false">
      <c r="A40" s="14" t="s">
        <v>22</v>
      </c>
      <c r="C40" s="12" t="n">
        <f aca="false">SUM(D37:H37)/C5</f>
        <v>1.66693046085389</v>
      </c>
    </row>
    <row r="41" customFormat="false" ht="15" hidden="false" customHeight="false" outlineLevel="0" collapsed="false">
      <c r="A41" s="5" t="s">
        <v>233</v>
      </c>
      <c r="C41" s="10" t="n">
        <f aca="false">SUM(D36:H36)</f>
        <v>63156.0431741654</v>
      </c>
    </row>
    <row r="42" customFormat="false" ht="15" hidden="false" customHeight="false" outlineLevel="0" collapsed="false">
      <c r="A42" s="5" t="s">
        <v>234</v>
      </c>
      <c r="C42" s="9" t="n">
        <f aca="false">'Cash Flow'!C26</f>
        <v>0.121065243133482</v>
      </c>
    </row>
    <row r="43" customFormat="false" ht="15" hidden="false" customHeight="false" outlineLevel="0" collapsed="false">
      <c r="A43" s="2" t="s">
        <v>235</v>
      </c>
      <c r="C43" s="46" t="n">
        <f aca="false">ROUND(SUM(D35:H36)-SUM(D6:H6),0)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8" min="3" style="0" width="14"/>
    <col collapsed="false" customWidth="true" hidden="false" outlineLevel="0" max="10" min="9" style="0" width="12"/>
  </cols>
  <sheetData>
    <row r="1" customFormat="false" ht="19.7" hidden="false" customHeight="false" outlineLevel="0" collapsed="false">
      <c r="A1" s="1" t="s">
        <v>236</v>
      </c>
    </row>
    <row r="2" customFormat="false" ht="15" hidden="false" customHeight="false" outlineLevel="0" collapsed="false">
      <c r="A2" s="2" t="s">
        <v>237</v>
      </c>
    </row>
    <row r="4" customFormat="false" ht="15" hidden="false" customHeight="false" outlineLevel="0" collapsed="false">
      <c r="A4" s="14" t="s">
        <v>208</v>
      </c>
    </row>
    <row r="5" customFormat="false" ht="15" hidden="false" customHeight="false" outlineLevel="0" collapsed="false">
      <c r="A5" s="2" t="s">
        <v>238</v>
      </c>
      <c r="B5" s="48" t="n">
        <v>0.01</v>
      </c>
      <c r="C5" s="48" t="n">
        <v>0.02</v>
      </c>
      <c r="D5" s="48" t="n">
        <v>0.03</v>
      </c>
      <c r="E5" s="48" t="n">
        <v>0.04</v>
      </c>
    </row>
    <row r="6" customFormat="false" ht="15" hidden="false" customHeight="false" outlineLevel="0" collapsed="false">
      <c r="A6" s="48" t="n">
        <v>0.064</v>
      </c>
      <c r="B6" s="49" t="n">
        <f aca="false">I22</f>
        <v>0.0932925609713445</v>
      </c>
      <c r="C6" s="49" t="n">
        <f aca="false">I23</f>
        <v>0.123462201639899</v>
      </c>
      <c r="D6" s="49" t="n">
        <f aca="false">I24</f>
        <v>0.152102590649677</v>
      </c>
      <c r="E6" s="49" t="n">
        <f aca="false">I25</f>
        <v>0.179472772024878</v>
      </c>
    </row>
    <row r="7" customFormat="false" ht="15" hidden="false" customHeight="false" outlineLevel="0" collapsed="false">
      <c r="A7" s="48" t="n">
        <v>0.069</v>
      </c>
      <c r="B7" s="49" t="n">
        <f aca="false">I26</f>
        <v>0.059052951275938</v>
      </c>
      <c r="C7" s="49" t="n">
        <f aca="false">I27</f>
        <v>0.0910025774643578</v>
      </c>
      <c r="D7" s="50" t="n">
        <f aca="false">I28</f>
        <v>0.121065243133482</v>
      </c>
      <c r="E7" s="49" t="n">
        <f aca="false">I29</f>
        <v>0.149589480021379</v>
      </c>
    </row>
    <row r="8" customFormat="false" ht="15" hidden="false" customHeight="false" outlineLevel="0" collapsed="false">
      <c r="A8" s="48" t="n">
        <v>0.074</v>
      </c>
      <c r="B8" s="49" t="n">
        <f aca="false">I30</f>
        <v>0.0251701348029311</v>
      </c>
      <c r="C8" s="49" t="n">
        <f aca="false">I31</f>
        <v>0.0592441417129475</v>
      </c>
      <c r="D8" s="49" t="n">
        <f aca="false">I32</f>
        <v>0.0909705814933392</v>
      </c>
      <c r="E8" s="49" t="n">
        <f aca="false">I33</f>
        <v>0.120824604463746</v>
      </c>
    </row>
    <row r="9" customFormat="false" ht="15" hidden="false" customHeight="false" outlineLevel="0" collapsed="false">
      <c r="A9" s="48" t="n">
        <v>0.079</v>
      </c>
      <c r="B9" s="49" t="n">
        <f aca="false">I34</f>
        <v>-0.00884628049231576</v>
      </c>
      <c r="C9" s="49" t="n">
        <f aca="false">I35</f>
        <v>0.0277962664458901</v>
      </c>
      <c r="D9" s="49" t="n">
        <f aca="false">I36</f>
        <v>0.0614843832455438</v>
      </c>
      <c r="E9" s="49" t="n">
        <f aca="false">I37</f>
        <v>0.092877111005377</v>
      </c>
    </row>
    <row r="11" customFormat="false" ht="15" hidden="false" customHeight="false" outlineLevel="0" collapsed="false">
      <c r="A11" s="14" t="s">
        <v>14</v>
      </c>
    </row>
    <row r="12" customFormat="false" ht="15" hidden="false" customHeight="false" outlineLevel="0" collapsed="false">
      <c r="A12" s="2" t="s">
        <v>238</v>
      </c>
      <c r="B12" s="51" t="n">
        <f aca="false">B5</f>
        <v>0.01</v>
      </c>
      <c r="C12" s="51" t="n">
        <f aca="false">C5</f>
        <v>0.02</v>
      </c>
      <c r="D12" s="51" t="n">
        <f aca="false">D5</f>
        <v>0.03</v>
      </c>
      <c r="E12" s="51" t="n">
        <f aca="false">E5</f>
        <v>0.04</v>
      </c>
    </row>
    <row r="13" customFormat="false" ht="15" hidden="false" customHeight="false" outlineLevel="0" collapsed="false">
      <c r="A13" s="51" t="n">
        <f aca="false">A6</f>
        <v>0.064</v>
      </c>
      <c r="B13" s="52" t="n">
        <f aca="false">J22</f>
        <v>1.5119801246887</v>
      </c>
      <c r="C13" s="52" t="n">
        <f aca="false">J23</f>
        <v>1.71661957197111</v>
      </c>
      <c r="D13" s="52" t="n">
        <f aca="false">J24</f>
        <v>1.93088650477573</v>
      </c>
      <c r="E13" s="52" t="n">
        <f aca="false">J25</f>
        <v>2.15515103731707</v>
      </c>
    </row>
    <row r="14" customFormat="false" ht="15" hidden="false" customHeight="false" outlineLevel="0" collapsed="false">
      <c r="A14" s="51" t="n">
        <f aca="false">A7</f>
        <v>0.069</v>
      </c>
      <c r="B14" s="52" t="n">
        <f aca="false">J26</f>
        <v>1.30163982433814</v>
      </c>
      <c r="C14" s="52" t="n">
        <f aca="false">J27</f>
        <v>1.49347040106052</v>
      </c>
      <c r="D14" s="53" t="n">
        <f aca="false">J28</f>
        <v>1.69428494940819</v>
      </c>
      <c r="E14" s="52" t="n">
        <f aca="false">J29</f>
        <v>1.9044279754524</v>
      </c>
    </row>
    <row r="15" customFormat="false" ht="15" hidden="false" customHeight="false" outlineLevel="0" collapsed="false">
      <c r="A15" s="51" t="n">
        <f aca="false">A8</f>
        <v>0.074</v>
      </c>
      <c r="B15" s="52" t="n">
        <f aca="false">J30</f>
        <v>1.11972388889982</v>
      </c>
      <c r="C15" s="52" t="n">
        <f aca="false">J31</f>
        <v>1.30047652351622</v>
      </c>
      <c r="D15" s="52" t="n">
        <f aca="false">J32</f>
        <v>1.48965657719842</v>
      </c>
      <c r="E15" s="52" t="n">
        <f aca="false">J33</f>
        <v>1.68758640843431</v>
      </c>
    </row>
    <row r="16" customFormat="false" ht="15" hidden="false" customHeight="false" outlineLevel="0" collapsed="false">
      <c r="A16" s="51" t="n">
        <f aca="false">A9</f>
        <v>0.079</v>
      </c>
      <c r="B16" s="52" t="n">
        <f aca="false">J34</f>
        <v>0.960835287061283</v>
      </c>
      <c r="C16" s="52" t="n">
        <f aca="false">J35</f>
        <v>1.13191225072436</v>
      </c>
      <c r="D16" s="52" t="n">
        <f aca="false">J36</f>
        <v>1.31093053058483</v>
      </c>
      <c r="E16" s="52" t="n">
        <f aca="false">J37</f>
        <v>1.49819314103877</v>
      </c>
    </row>
    <row r="18" customFormat="false" ht="15" hidden="false" customHeight="false" outlineLevel="0" collapsed="false">
      <c r="A18" s="2" t="s">
        <v>239</v>
      </c>
    </row>
    <row r="20" customFormat="false" ht="15" hidden="false" customHeight="false" outlineLevel="0" collapsed="false">
      <c r="A20" s="20" t="s">
        <v>240</v>
      </c>
      <c r="B20" s="21"/>
      <c r="C20" s="21"/>
      <c r="D20" s="21"/>
      <c r="E20" s="21"/>
      <c r="F20" s="21"/>
      <c r="G20" s="21"/>
      <c r="H20" s="21"/>
      <c r="I20" s="21"/>
      <c r="J20" s="21"/>
    </row>
    <row r="21" customFormat="false" ht="15" hidden="false" customHeight="false" outlineLevel="0" collapsed="false">
      <c r="A21" s="20" t="s">
        <v>241</v>
      </c>
      <c r="B21" s="21" t="s">
        <v>242</v>
      </c>
      <c r="C21" s="21" t="s">
        <v>187</v>
      </c>
      <c r="D21" s="21" t="s">
        <v>188</v>
      </c>
      <c r="E21" s="21" t="s">
        <v>189</v>
      </c>
      <c r="F21" s="21" t="s">
        <v>190</v>
      </c>
      <c r="G21" s="21" t="s">
        <v>191</v>
      </c>
      <c r="H21" s="21" t="s">
        <v>192</v>
      </c>
      <c r="I21" s="21" t="s">
        <v>243</v>
      </c>
      <c r="J21" s="21" t="s">
        <v>244</v>
      </c>
    </row>
    <row r="22" customFormat="false" ht="15" hidden="false" customHeight="false" outlineLevel="0" collapsed="false">
      <c r="A22" s="54" t="n">
        <f aca="false">$A$6</f>
        <v>0.064</v>
      </c>
      <c r="B22" s="54" t="n">
        <f aca="false">B$5</f>
        <v>0.01</v>
      </c>
      <c r="C22" s="8" t="n">
        <f aca="false">'Cash Flow'!$C$20</f>
        <v>-2308800</v>
      </c>
      <c r="D22" s="10" t="n">
        <f aca="false">'Cash Flow'!$C$6*(1+$B22)^1+'Cash Flow'!D$7+'Cash Flow'!D$8</f>
        <v>108783.053605505</v>
      </c>
      <c r="E22" s="10" t="n">
        <f aca="false">'Cash Flow'!$C$6*(1+$B22)^2+'Cash Flow'!E$7+'Cash Flow'!E$8</f>
        <v>112947.285625505</v>
      </c>
      <c r="F22" s="10" t="n">
        <f aca="false">'Cash Flow'!$C$6*(1+$B22)^3+'Cash Flow'!F$7+'Cash Flow'!F$8</f>
        <v>117153.159965705</v>
      </c>
      <c r="G22" s="10" t="n">
        <f aca="false">'Cash Flow'!$C$6*(1+$B22)^4+'Cash Flow'!G$7+'Cash Flow'!G$8</f>
        <v>121401.093049307</v>
      </c>
      <c r="H22" s="10" t="n">
        <f aca="false">'Cash Flow'!$C$6*(1+$B22)^5+'Cash Flow'!H$7+'Cash Flow'!H$8+'Cash Flow'!$C$6*(1+$B22)^6/$A22*(1-Assumptions!$B$11)-Debt!$B$11</f>
        <v>3030575.11963525</v>
      </c>
      <c r="I22" s="54" t="n">
        <f aca="false">IRR(C22:H22)</f>
        <v>0.0932925609713445</v>
      </c>
      <c r="J22" s="55" t="n">
        <f aca="false">SUM(D22:H22)/-C22</f>
        <v>1.5119801246887</v>
      </c>
    </row>
    <row r="23" customFormat="false" ht="15" hidden="false" customHeight="false" outlineLevel="0" collapsed="false">
      <c r="A23" s="54" t="n">
        <f aca="false">$A$6</f>
        <v>0.064</v>
      </c>
      <c r="B23" s="54" t="n">
        <f aca="false">C$5</f>
        <v>0.02</v>
      </c>
      <c r="C23" s="8" t="n">
        <f aca="false">'Cash Flow'!$C$20</f>
        <v>-2308800</v>
      </c>
      <c r="D23" s="10" t="n">
        <f aca="false">'Cash Flow'!$C$6*(1+$B23)^1+'Cash Flow'!D$7+'Cash Flow'!D$8</f>
        <v>112906.055605505</v>
      </c>
      <c r="E23" s="10" t="n">
        <f aca="false">'Cash Flow'!$C$6*(1+$B23)^2+'Cash Flow'!E$7+'Cash Flow'!E$8</f>
        <v>121316.979685505</v>
      </c>
      <c r="F23" s="10" t="n">
        <f aca="false">'Cash Flow'!$C$6*(1+$B23)^3+'Cash Flow'!F$7+'Cash Flow'!F$8</f>
        <v>129896.122247105</v>
      </c>
      <c r="G23" s="10" t="n">
        <f aca="false">'Cash Flow'!$C$6*(1+$B23)^4+'Cash Flow'!G$7+'Cash Flow'!G$8</f>
        <v>138646.847659937</v>
      </c>
      <c r="H23" s="10" t="n">
        <f aca="false">'Cash Flow'!$C$6*(1+$B23)^5+'Cash Flow'!H$7+'Cash Flow'!H$8+'Cash Flow'!$C$6*(1+$B23)^6/$A23*(1-Assumptions!$B$11)-Debt!$B$11</f>
        <v>3460565.26256885</v>
      </c>
      <c r="I23" s="54" t="n">
        <f aca="false">IRR(C23:H23)</f>
        <v>0.123462201639899</v>
      </c>
      <c r="J23" s="55" t="n">
        <f aca="false">SUM(D23:H23)/-C23</f>
        <v>1.71661957197111</v>
      </c>
    </row>
    <row r="24" customFormat="false" ht="15" hidden="false" customHeight="false" outlineLevel="0" collapsed="false">
      <c r="A24" s="54" t="n">
        <f aca="false">$A$6</f>
        <v>0.064</v>
      </c>
      <c r="B24" s="54" t="n">
        <f aca="false">D$5</f>
        <v>0.03</v>
      </c>
      <c r="C24" s="8" t="n">
        <f aca="false">'Cash Flow'!$C$20</f>
        <v>-2308800</v>
      </c>
      <c r="D24" s="10" t="n">
        <f aca="false">'Cash Flow'!$C$6*(1+$B24)^1+'Cash Flow'!D$7+'Cash Flow'!D$8</f>
        <v>117029.057605505</v>
      </c>
      <c r="E24" s="10" t="n">
        <f aca="false">'Cash Flow'!$C$6*(1+$B24)^2+'Cash Flow'!E$7+'Cash Flow'!E$8</f>
        <v>129769.133785505</v>
      </c>
      <c r="F24" s="10" t="n">
        <f aca="false">'Cash Flow'!$C$6*(1+$B24)^3+'Cash Flow'!F$7+'Cash Flow'!F$8</f>
        <v>142891.412250905</v>
      </c>
      <c r="G24" s="10" t="n">
        <f aca="false">'Cash Flow'!$C$6*(1+$B24)^4+'Cash Flow'!G$7+'Cash Flow'!G$8</f>
        <v>156407.359070267</v>
      </c>
      <c r="H24" s="10" t="n">
        <f aca="false">'Cash Flow'!$C$6*(1+$B24)^5+'Cash Flow'!H$7+'Cash Flow'!H$8+'Cash Flow'!$C$6*(1+$B24)^6/$A24*(1-Assumptions!$B$11)-Debt!$B$11</f>
        <v>3911933.79951404</v>
      </c>
      <c r="I24" s="54" t="n">
        <f aca="false">IRR(C24:H24)</f>
        <v>0.152102590649677</v>
      </c>
      <c r="J24" s="55" t="n">
        <f aca="false">SUM(D24:H24)/-C24</f>
        <v>1.93088650477573</v>
      </c>
    </row>
    <row r="25" customFormat="false" ht="15" hidden="false" customHeight="false" outlineLevel="0" collapsed="false">
      <c r="A25" s="54" t="n">
        <f aca="false">$A$6</f>
        <v>0.064</v>
      </c>
      <c r="B25" s="54" t="n">
        <f aca="false">E$5</f>
        <v>0.04</v>
      </c>
      <c r="C25" s="8" t="n">
        <f aca="false">'Cash Flow'!$C$20</f>
        <v>-2308800</v>
      </c>
      <c r="D25" s="10" t="n">
        <f aca="false">'Cash Flow'!$C$6*(1+$B25)^1+'Cash Flow'!D$7+'Cash Flow'!D$8</f>
        <v>121152.059605505</v>
      </c>
      <c r="E25" s="10" t="n">
        <f aca="false">'Cash Flow'!$C$6*(1+$B25)^2+'Cash Flow'!E$7+'Cash Flow'!E$8</f>
        <v>138303.747925505</v>
      </c>
      <c r="F25" s="10" t="n">
        <f aca="false">'Cash Flow'!$C$6*(1+$B25)^3+'Cash Flow'!F$7+'Cash Flow'!F$8</f>
        <v>156141.503778305</v>
      </c>
      <c r="G25" s="10" t="n">
        <f aca="false">'Cash Flow'!$C$6*(1+$B25)^4+'Cash Flow'!G$7+'Cash Flow'!G$8</f>
        <v>174692.769865217</v>
      </c>
      <c r="H25" s="10" t="n">
        <f aca="false">'Cash Flow'!$C$6*(1+$B25)^5+'Cash Flow'!H$7+'Cash Flow'!H$8+'Cash Flow'!$C$6*(1+$B25)^6/$A25*(1-Assumptions!$B$11)-Debt!$B$11</f>
        <v>4385522.63378312</v>
      </c>
      <c r="I25" s="54" t="n">
        <f aca="false">IRR(C25:H25)</f>
        <v>0.179472772024878</v>
      </c>
      <c r="J25" s="55" t="n">
        <f aca="false">SUM(D25:H25)/-C25</f>
        <v>2.15515103731707</v>
      </c>
    </row>
    <row r="26" customFormat="false" ht="15" hidden="false" customHeight="false" outlineLevel="0" collapsed="false">
      <c r="A26" s="54" t="n">
        <f aca="false">$A$7</f>
        <v>0.069</v>
      </c>
      <c r="B26" s="54" t="n">
        <f aca="false">B$5</f>
        <v>0.01</v>
      </c>
      <c r="C26" s="8" t="n">
        <f aca="false">'Cash Flow'!$C$20</f>
        <v>-2308800</v>
      </c>
      <c r="D26" s="10" t="n">
        <f aca="false">'Cash Flow'!$C$6*(1+$B26)^1+'Cash Flow'!D$7+'Cash Flow'!D$8</f>
        <v>108783.053605505</v>
      </c>
      <c r="E26" s="10" t="n">
        <f aca="false">'Cash Flow'!$C$6*(1+$B26)^2+'Cash Flow'!E$7+'Cash Flow'!E$8</f>
        <v>112947.285625505</v>
      </c>
      <c r="F26" s="10" t="n">
        <f aca="false">'Cash Flow'!$C$6*(1+$B26)^3+'Cash Flow'!F$7+'Cash Flow'!F$8</f>
        <v>117153.159965705</v>
      </c>
      <c r="G26" s="10" t="n">
        <f aca="false">'Cash Flow'!$C$6*(1+$B26)^4+'Cash Flow'!G$7+'Cash Flow'!G$8</f>
        <v>121401.093049307</v>
      </c>
      <c r="H26" s="10" t="n">
        <f aca="false">'Cash Flow'!$C$6*(1+$B26)^5+'Cash Flow'!H$7+'Cash Flow'!H$8+'Cash Flow'!$C$6*(1+$B26)^6/$A26*(1-Assumptions!$B$11)-Debt!$B$11</f>
        <v>2544941.43418588</v>
      </c>
      <c r="I26" s="54" t="n">
        <f aca="false">IRR(C26:H26)</f>
        <v>0.059052951275938</v>
      </c>
      <c r="J26" s="55" t="n">
        <f aca="false">SUM(D26:H26)/-C26</f>
        <v>1.30163982433814</v>
      </c>
    </row>
    <row r="27" customFormat="false" ht="15" hidden="false" customHeight="false" outlineLevel="0" collapsed="false">
      <c r="A27" s="54" t="n">
        <f aca="false">$A$7</f>
        <v>0.069</v>
      </c>
      <c r="B27" s="54" t="n">
        <f aca="false">C$5</f>
        <v>0.02</v>
      </c>
      <c r="C27" s="8" t="n">
        <f aca="false">'Cash Flow'!$C$20</f>
        <v>-2308800</v>
      </c>
      <c r="D27" s="10" t="n">
        <f aca="false">'Cash Flow'!$C$6*(1+$B27)^1+'Cash Flow'!D$7+'Cash Flow'!D$8</f>
        <v>112906.055605505</v>
      </c>
      <c r="E27" s="10" t="n">
        <f aca="false">'Cash Flow'!$C$6*(1+$B27)^2+'Cash Flow'!E$7+'Cash Flow'!E$8</f>
        <v>121316.979685505</v>
      </c>
      <c r="F27" s="10" t="n">
        <f aca="false">'Cash Flow'!$C$6*(1+$B27)^3+'Cash Flow'!F$7+'Cash Flow'!F$8</f>
        <v>129896.122247105</v>
      </c>
      <c r="G27" s="10" t="n">
        <f aca="false">'Cash Flow'!$C$6*(1+$B27)^4+'Cash Flow'!G$7+'Cash Flow'!G$8</f>
        <v>138646.847659937</v>
      </c>
      <c r="H27" s="10" t="n">
        <f aca="false">'Cash Flow'!$C$6*(1+$B27)^5+'Cash Flow'!H$7+'Cash Flow'!H$8+'Cash Flow'!$C$6*(1+$B27)^6/$A27*(1-Assumptions!$B$11)-Debt!$B$11</f>
        <v>2945358.45677047</v>
      </c>
      <c r="I27" s="54" t="n">
        <f aca="false">IRR(C27:H27)</f>
        <v>0.0910025774643578</v>
      </c>
      <c r="J27" s="55" t="n">
        <f aca="false">SUM(D27:H27)/-C27</f>
        <v>1.49347040106052</v>
      </c>
    </row>
    <row r="28" customFormat="false" ht="15" hidden="false" customHeight="false" outlineLevel="0" collapsed="false">
      <c r="A28" s="54" t="n">
        <f aca="false">$A$7</f>
        <v>0.069</v>
      </c>
      <c r="B28" s="54" t="n">
        <f aca="false">D$5</f>
        <v>0.03</v>
      </c>
      <c r="C28" s="8" t="n">
        <f aca="false">'Cash Flow'!$C$20</f>
        <v>-2308800</v>
      </c>
      <c r="D28" s="10" t="n">
        <f aca="false">'Cash Flow'!$C$6*(1+$B28)^1+'Cash Flow'!D$7+'Cash Flow'!D$8</f>
        <v>117029.057605505</v>
      </c>
      <c r="E28" s="10" t="n">
        <f aca="false">'Cash Flow'!$C$6*(1+$B28)^2+'Cash Flow'!E$7+'Cash Flow'!E$8</f>
        <v>129769.133785505</v>
      </c>
      <c r="F28" s="10" t="n">
        <f aca="false">'Cash Flow'!$C$6*(1+$B28)^3+'Cash Flow'!F$7+'Cash Flow'!F$8</f>
        <v>142891.412250905</v>
      </c>
      <c r="G28" s="10" t="n">
        <f aca="false">'Cash Flow'!$C$6*(1+$B28)^4+'Cash Flow'!G$7+'Cash Flow'!G$8</f>
        <v>156407.359070267</v>
      </c>
      <c r="H28" s="10" t="n">
        <f aca="false">'Cash Flow'!$C$6*(1+$B28)^5+'Cash Flow'!H$7+'Cash Flow'!H$8+'Cash Flow'!$C$6*(1+$B28)^6/$A28*(1-Assumptions!$B$11)-Debt!$B$11</f>
        <v>3365668.12848145</v>
      </c>
      <c r="I28" s="54" t="n">
        <f aca="false">IRR(C28:H28)</f>
        <v>0.121065243133482</v>
      </c>
      <c r="J28" s="55" t="n">
        <f aca="false">SUM(D28:H28)/-C28</f>
        <v>1.69428494940819</v>
      </c>
    </row>
    <row r="29" customFormat="false" ht="15" hidden="false" customHeight="false" outlineLevel="0" collapsed="false">
      <c r="A29" s="54" t="n">
        <f aca="false">$A$7</f>
        <v>0.069</v>
      </c>
      <c r="B29" s="54" t="n">
        <f aca="false">E$5</f>
        <v>0.04</v>
      </c>
      <c r="C29" s="8" t="n">
        <f aca="false">'Cash Flow'!$C$20</f>
        <v>-2308800</v>
      </c>
      <c r="D29" s="10" t="n">
        <f aca="false">'Cash Flow'!$C$6*(1+$B29)^1+'Cash Flow'!D$7+'Cash Flow'!D$8</f>
        <v>121152.059605505</v>
      </c>
      <c r="E29" s="10" t="n">
        <f aca="false">'Cash Flow'!$C$6*(1+$B29)^2+'Cash Flow'!E$7+'Cash Flow'!E$8</f>
        <v>138303.747925505</v>
      </c>
      <c r="F29" s="10" t="n">
        <f aca="false">'Cash Flow'!$C$6*(1+$B29)^3+'Cash Flow'!F$7+'Cash Flow'!F$8</f>
        <v>156141.503778305</v>
      </c>
      <c r="G29" s="10" t="n">
        <f aca="false">'Cash Flow'!$C$6*(1+$B29)^4+'Cash Flow'!G$7+'Cash Flow'!G$8</f>
        <v>174692.769865217</v>
      </c>
      <c r="H29" s="10" t="n">
        <f aca="false">'Cash Flow'!$C$6*(1+$B29)^5+'Cash Flow'!H$7+'Cash Flow'!H$8+'Cash Flow'!$C$6*(1+$B29)^6/$A29*(1-Assumptions!$B$11)-Debt!$B$11</f>
        <v>3806653.22854998</v>
      </c>
      <c r="I29" s="54" t="n">
        <f aca="false">IRR(C29:H29)</f>
        <v>0.149589480021379</v>
      </c>
      <c r="J29" s="55" t="n">
        <f aca="false">SUM(D29:H29)/-C29</f>
        <v>1.9044279754524</v>
      </c>
    </row>
    <row r="30" customFormat="false" ht="15" hidden="false" customHeight="false" outlineLevel="0" collapsed="false">
      <c r="A30" s="54" t="n">
        <f aca="false">$A$8</f>
        <v>0.074</v>
      </c>
      <c r="B30" s="54" t="n">
        <f aca="false">B$5</f>
        <v>0.01</v>
      </c>
      <c r="C30" s="8" t="n">
        <f aca="false">'Cash Flow'!$C$20</f>
        <v>-2308800</v>
      </c>
      <c r="D30" s="10" t="n">
        <f aca="false">'Cash Flow'!$C$6*(1+$B30)^1+'Cash Flow'!D$7+'Cash Flow'!D$8</f>
        <v>108783.053605505</v>
      </c>
      <c r="E30" s="10" t="n">
        <f aca="false">'Cash Flow'!$C$6*(1+$B30)^2+'Cash Flow'!E$7+'Cash Flow'!E$8</f>
        <v>112947.285625505</v>
      </c>
      <c r="F30" s="10" t="n">
        <f aca="false">'Cash Flow'!$C$6*(1+$B30)^3+'Cash Flow'!F$7+'Cash Flow'!F$8</f>
        <v>117153.159965705</v>
      </c>
      <c r="G30" s="10" t="n">
        <f aca="false">'Cash Flow'!$C$6*(1+$B30)^4+'Cash Flow'!G$7+'Cash Flow'!G$8</f>
        <v>121401.093049307</v>
      </c>
      <c r="H30" s="10" t="n">
        <f aca="false">'Cash Flow'!$C$6*(1+$B30)^5+'Cash Flow'!H$7+'Cash Flow'!H$8+'Cash Flow'!$C$6*(1+$B30)^6/$A30*(1-Assumptions!$B$11)-Debt!$B$11</f>
        <v>2124933.92244588</v>
      </c>
      <c r="I30" s="54" t="n">
        <f aca="false">IRR(C30:H30)</f>
        <v>0.0251701348029311</v>
      </c>
      <c r="J30" s="55" t="n">
        <f aca="false">SUM(D30:H30)/-C30</f>
        <v>1.11972388889982</v>
      </c>
    </row>
    <row r="31" customFormat="false" ht="15" hidden="false" customHeight="false" outlineLevel="0" collapsed="false">
      <c r="A31" s="54" t="n">
        <f aca="false">$A$8</f>
        <v>0.074</v>
      </c>
      <c r="B31" s="54" t="n">
        <f aca="false">C$5</f>
        <v>0.02</v>
      </c>
      <c r="C31" s="8" t="n">
        <f aca="false">'Cash Flow'!$C$20</f>
        <v>-2308800</v>
      </c>
      <c r="D31" s="10" t="n">
        <f aca="false">'Cash Flow'!$C$6*(1+$B31)^1+'Cash Flow'!D$7+'Cash Flow'!D$8</f>
        <v>112906.055605505</v>
      </c>
      <c r="E31" s="10" t="n">
        <f aca="false">'Cash Flow'!$C$6*(1+$B31)^2+'Cash Flow'!E$7+'Cash Flow'!E$8</f>
        <v>121316.979685505</v>
      </c>
      <c r="F31" s="10" t="n">
        <f aca="false">'Cash Flow'!$C$6*(1+$B31)^3+'Cash Flow'!F$7+'Cash Flow'!F$8</f>
        <v>129896.122247105</v>
      </c>
      <c r="G31" s="10" t="n">
        <f aca="false">'Cash Flow'!$C$6*(1+$B31)^4+'Cash Flow'!G$7+'Cash Flow'!G$8</f>
        <v>138646.847659937</v>
      </c>
      <c r="H31" s="10" t="n">
        <f aca="false">'Cash Flow'!$C$6*(1+$B31)^5+'Cash Flow'!H$7+'Cash Flow'!H$8+'Cash Flow'!$C$6*(1+$B31)^6/$A31*(1-Assumptions!$B$11)-Debt!$B$11</f>
        <v>2499774.19229619</v>
      </c>
      <c r="I31" s="54" t="n">
        <f aca="false">IRR(C31:H31)</f>
        <v>0.0592441417129475</v>
      </c>
      <c r="J31" s="55" t="n">
        <f aca="false">SUM(D31:H31)/-C31</f>
        <v>1.30047652351622</v>
      </c>
    </row>
    <row r="32" customFormat="false" ht="15" hidden="false" customHeight="false" outlineLevel="0" collapsed="false">
      <c r="A32" s="54" t="n">
        <f aca="false">$A$8</f>
        <v>0.074</v>
      </c>
      <c r="B32" s="54" t="n">
        <f aca="false">D$5</f>
        <v>0.03</v>
      </c>
      <c r="C32" s="8" t="n">
        <f aca="false">'Cash Flow'!$C$20</f>
        <v>-2308800</v>
      </c>
      <c r="D32" s="10" t="n">
        <f aca="false">'Cash Flow'!$C$6*(1+$B32)^1+'Cash Flow'!D$7+'Cash Flow'!D$8</f>
        <v>117029.057605505</v>
      </c>
      <c r="E32" s="10" t="n">
        <f aca="false">'Cash Flow'!$C$6*(1+$B32)^2+'Cash Flow'!E$7+'Cash Flow'!E$8</f>
        <v>129769.133785505</v>
      </c>
      <c r="F32" s="10" t="n">
        <f aca="false">'Cash Flow'!$C$6*(1+$B32)^3+'Cash Flow'!F$7+'Cash Flow'!F$8</f>
        <v>142891.412250905</v>
      </c>
      <c r="G32" s="10" t="n">
        <f aca="false">'Cash Flow'!$C$6*(1+$B32)^4+'Cash Flow'!G$7+'Cash Flow'!G$8</f>
        <v>156407.359070267</v>
      </c>
      <c r="H32" s="10" t="n">
        <f aca="false">'Cash Flow'!$C$6*(1+$B32)^5+'Cash Flow'!H$7+'Cash Flow'!H$8+'Cash Flow'!$C$6*(1+$B32)^6/$A32*(1-Assumptions!$B$11)-Debt!$B$11</f>
        <v>2893222.14272354</v>
      </c>
      <c r="I32" s="54" t="n">
        <f aca="false">IRR(C32:H32)</f>
        <v>0.0909705814933392</v>
      </c>
      <c r="J32" s="55" t="n">
        <f aca="false">SUM(D32:H32)/-C32</f>
        <v>1.48965657719842</v>
      </c>
    </row>
    <row r="33" customFormat="false" ht="15" hidden="false" customHeight="false" outlineLevel="0" collapsed="false">
      <c r="A33" s="54" t="n">
        <f aca="false">$A$8</f>
        <v>0.074</v>
      </c>
      <c r="B33" s="54" t="n">
        <f aca="false">E$5</f>
        <v>0.04</v>
      </c>
      <c r="C33" s="8" t="n">
        <f aca="false">'Cash Flow'!$C$20</f>
        <v>-2308800</v>
      </c>
      <c r="D33" s="10" t="n">
        <f aca="false">'Cash Flow'!$C$6*(1+$B33)^1+'Cash Flow'!D$7+'Cash Flow'!D$8</f>
        <v>121152.059605505</v>
      </c>
      <c r="E33" s="10" t="n">
        <f aca="false">'Cash Flow'!$C$6*(1+$B33)^2+'Cash Flow'!E$7+'Cash Flow'!E$8</f>
        <v>138303.747925505</v>
      </c>
      <c r="F33" s="10" t="n">
        <f aca="false">'Cash Flow'!$C$6*(1+$B33)^3+'Cash Flow'!F$7+'Cash Flow'!F$8</f>
        <v>156141.503778305</v>
      </c>
      <c r="G33" s="10" t="n">
        <f aca="false">'Cash Flow'!$C$6*(1+$B33)^4+'Cash Flow'!G$7+'Cash Flow'!G$8</f>
        <v>174692.769865217</v>
      </c>
      <c r="H33" s="10" t="n">
        <f aca="false">'Cash Flow'!$C$6*(1+$B33)^5+'Cash Flow'!H$7+'Cash Flow'!H$8+'Cash Flow'!$C$6*(1+$B33)^6/$A33*(1-Assumptions!$B$11)-Debt!$B$11</f>
        <v>3306009.41861861</v>
      </c>
      <c r="I33" s="54" t="n">
        <f aca="false">IRR(C33:H33)</f>
        <v>0.120824604463746</v>
      </c>
      <c r="J33" s="55" t="n">
        <f aca="false">SUM(D33:H33)/-C33</f>
        <v>1.68758640843431</v>
      </c>
    </row>
    <row r="34" customFormat="false" ht="15" hidden="false" customHeight="false" outlineLevel="0" collapsed="false">
      <c r="A34" s="54" t="n">
        <f aca="false">$A$9</f>
        <v>0.079</v>
      </c>
      <c r="B34" s="54" t="n">
        <f aca="false">B$5</f>
        <v>0.01</v>
      </c>
      <c r="C34" s="8" t="n">
        <f aca="false">'Cash Flow'!$C$20</f>
        <v>-2308800</v>
      </c>
      <c r="D34" s="10" t="n">
        <f aca="false">'Cash Flow'!$C$6*(1+$B34)^1+'Cash Flow'!D$7+'Cash Flow'!D$8</f>
        <v>108783.053605505</v>
      </c>
      <c r="E34" s="10" t="n">
        <f aca="false">'Cash Flow'!$C$6*(1+$B34)^2+'Cash Flow'!E$7+'Cash Flow'!E$8</f>
        <v>112947.285625505</v>
      </c>
      <c r="F34" s="10" t="n">
        <f aca="false">'Cash Flow'!$C$6*(1+$B34)^3+'Cash Flow'!F$7+'Cash Flow'!F$8</f>
        <v>117153.159965705</v>
      </c>
      <c r="G34" s="10" t="n">
        <f aca="false">'Cash Flow'!$C$6*(1+$B34)^4+'Cash Flow'!G$7+'Cash Flow'!G$8</f>
        <v>121401.093049307</v>
      </c>
      <c r="H34" s="10" t="n">
        <f aca="false">'Cash Flow'!$C$6*(1+$B34)^5+'Cash Flow'!H$7+'Cash Flow'!H$8+'Cash Flow'!$C$6*(1+$B34)^6/$A34*(1-Assumptions!$B$11)-Debt!$B$11</f>
        <v>1758091.91852107</v>
      </c>
      <c r="I34" s="54" t="n">
        <f aca="false">IRR(C34:H34)</f>
        <v>-0.00884628049231576</v>
      </c>
      <c r="J34" s="55" t="n">
        <f aca="false">SUM(D34:H34)/-C34</f>
        <v>0.960835287061283</v>
      </c>
    </row>
    <row r="35" customFormat="false" ht="15" hidden="false" customHeight="false" outlineLevel="0" collapsed="false">
      <c r="A35" s="54" t="n">
        <f aca="false">$A$9</f>
        <v>0.079</v>
      </c>
      <c r="B35" s="54" t="n">
        <f aca="false">C$5</f>
        <v>0.02</v>
      </c>
      <c r="C35" s="8" t="n">
        <f aca="false">'Cash Flow'!$C$20</f>
        <v>-2308800</v>
      </c>
      <c r="D35" s="10" t="n">
        <f aca="false">'Cash Flow'!$C$6*(1+$B35)^1+'Cash Flow'!D$7+'Cash Flow'!D$8</f>
        <v>112906.055605505</v>
      </c>
      <c r="E35" s="10" t="n">
        <f aca="false">'Cash Flow'!$C$6*(1+$B35)^2+'Cash Flow'!E$7+'Cash Flow'!E$8</f>
        <v>121316.979685505</v>
      </c>
      <c r="F35" s="10" t="n">
        <f aca="false">'Cash Flow'!$C$6*(1+$B35)^3+'Cash Flow'!F$7+'Cash Flow'!F$8</f>
        <v>129896.122247105</v>
      </c>
      <c r="G35" s="10" t="n">
        <f aca="false">'Cash Flow'!$C$6*(1+$B35)^4+'Cash Flow'!G$7+'Cash Flow'!G$8</f>
        <v>138646.847659937</v>
      </c>
      <c r="H35" s="10" t="n">
        <f aca="false">'Cash Flow'!$C$6*(1+$B35)^5+'Cash Flow'!H$7+'Cash Flow'!H$8+'Cash Flow'!$C$6*(1+$B35)^6/$A35*(1-Assumptions!$B$11)-Debt!$B$11</f>
        <v>2110592.99927436</v>
      </c>
      <c r="I35" s="54" t="n">
        <f aca="false">IRR(C35:H35)</f>
        <v>0.0277962664458901</v>
      </c>
      <c r="J35" s="55" t="n">
        <f aca="false">SUM(D35:H35)/-C35</f>
        <v>1.13191225072436</v>
      </c>
    </row>
    <row r="36" customFormat="false" ht="15" hidden="false" customHeight="false" outlineLevel="0" collapsed="false">
      <c r="A36" s="54" t="n">
        <f aca="false">$A$9</f>
        <v>0.079</v>
      </c>
      <c r="B36" s="54" t="n">
        <f aca="false">D$5</f>
        <v>0.03</v>
      </c>
      <c r="C36" s="8" t="n">
        <f aca="false">'Cash Flow'!$C$20</f>
        <v>-2308800</v>
      </c>
      <c r="D36" s="10" t="n">
        <f aca="false">'Cash Flow'!$C$6*(1+$B36)^1+'Cash Flow'!D$7+'Cash Flow'!D$8</f>
        <v>117029.057605505</v>
      </c>
      <c r="E36" s="10" t="n">
        <f aca="false">'Cash Flow'!$C$6*(1+$B36)^2+'Cash Flow'!E$7+'Cash Flow'!E$8</f>
        <v>129769.133785505</v>
      </c>
      <c r="F36" s="10" t="n">
        <f aca="false">'Cash Flow'!$C$6*(1+$B36)^3+'Cash Flow'!F$7+'Cash Flow'!F$8</f>
        <v>142891.412250905</v>
      </c>
      <c r="G36" s="10" t="n">
        <f aca="false">'Cash Flow'!$C$6*(1+$B36)^4+'Cash Flow'!G$7+'Cash Flow'!G$8</f>
        <v>156407.359070267</v>
      </c>
      <c r="H36" s="10" t="n">
        <f aca="false">'Cash Flow'!$C$6*(1+$B36)^5+'Cash Flow'!H$7+'Cash Flow'!H$8+'Cash Flow'!$C$6*(1+$B36)^6/$A36*(1-Assumptions!$B$11)-Debt!$B$11</f>
        <v>2480579.44630208</v>
      </c>
      <c r="I36" s="54" t="n">
        <f aca="false">IRR(C36:H36)</f>
        <v>0.0614843832455438</v>
      </c>
      <c r="J36" s="55" t="n">
        <f aca="false">SUM(D36:H36)/-C36</f>
        <v>1.31093053058483</v>
      </c>
    </row>
    <row r="37" customFormat="false" ht="15" hidden="false" customHeight="false" outlineLevel="0" collapsed="false">
      <c r="A37" s="54" t="n">
        <f aca="false">$A$9</f>
        <v>0.079</v>
      </c>
      <c r="B37" s="54" t="n">
        <f aca="false">E$5</f>
        <v>0.04</v>
      </c>
      <c r="C37" s="8" t="n">
        <f aca="false">'Cash Flow'!$C$20</f>
        <v>-2308800</v>
      </c>
      <c r="D37" s="10" t="n">
        <f aca="false">'Cash Flow'!$C$6*(1+$B37)^1+'Cash Flow'!D$7+'Cash Flow'!D$8</f>
        <v>121152.059605505</v>
      </c>
      <c r="E37" s="10" t="n">
        <f aca="false">'Cash Flow'!$C$6*(1+$B37)^2+'Cash Flow'!E$7+'Cash Flow'!E$8</f>
        <v>138303.747925505</v>
      </c>
      <c r="F37" s="10" t="n">
        <f aca="false">'Cash Flow'!$C$6*(1+$B37)^3+'Cash Flow'!F$7+'Cash Flow'!F$8</f>
        <v>156141.503778305</v>
      </c>
      <c r="G37" s="10" t="n">
        <f aca="false">'Cash Flow'!$C$6*(1+$B37)^4+'Cash Flow'!G$7+'Cash Flow'!G$8</f>
        <v>174692.769865217</v>
      </c>
      <c r="H37" s="10" t="n">
        <f aca="false">'Cash Flow'!$C$6*(1+$B37)^5+'Cash Flow'!H$7+'Cash Flow'!H$8+'Cash Flow'!$C$6*(1+$B37)^6/$A37*(1-Assumptions!$B$11)-Debt!$B$11</f>
        <v>2868738.24285577</v>
      </c>
      <c r="I37" s="54" t="n">
        <f aca="false">IRR(C37:H37)</f>
        <v>0.092877111005377</v>
      </c>
      <c r="J37" s="55" t="n">
        <f aca="false">SUM(D37:H37)/-C37</f>
        <v>1.49819314103877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245</v>
      </c>
    </row>
    <row r="2" customFormat="false" ht="15" hidden="false" customHeight="false" outlineLevel="0" collapsed="false">
      <c r="A2" s="2" t="s">
        <v>246</v>
      </c>
    </row>
    <row r="4" customFormat="false" ht="15" hidden="false" customHeight="false" outlineLevel="0" collapsed="false">
      <c r="A4" s="20" t="s">
        <v>247</v>
      </c>
      <c r="B4" s="21" t="s">
        <v>248</v>
      </c>
      <c r="C4" s="21" t="s">
        <v>249</v>
      </c>
    </row>
    <row r="5" customFormat="false" ht="15" hidden="false" customHeight="false" outlineLevel="0" collapsed="false">
      <c r="A5" s="5" t="s">
        <v>250</v>
      </c>
      <c r="B5" s="56" t="n">
        <f aca="false">ROUND(-'Cash Flow'!C20+Debt!B6-Assumptions!B5*(1+Assumptions!B6),0)</f>
        <v>0</v>
      </c>
      <c r="C5" s="57" t="str">
        <f aca="false">IF(B5=0,"OK","CHECK")</f>
        <v>OK</v>
      </c>
    </row>
    <row r="6" customFormat="false" ht="15" hidden="false" customHeight="false" outlineLevel="0" collapsed="false">
      <c r="A6" s="5" t="s">
        <v>251</v>
      </c>
      <c r="B6" s="56" t="n">
        <f aca="false">ROUND('Rent Roll'!$C$53-48,0)</f>
        <v>0</v>
      </c>
      <c r="C6" s="57" t="str">
        <f aca="false">IF(B6=0,"OK","CHECK")</f>
        <v>OK</v>
      </c>
    </row>
    <row r="7" customFormat="false" ht="15" hidden="false" customHeight="false" outlineLevel="0" collapsed="false">
      <c r="A7" s="5" t="s">
        <v>252</v>
      </c>
      <c r="B7" s="56" t="n">
        <f aca="false">ROUND(Operating!$B$24-'Cash Flow'!C6,0)</f>
        <v>0</v>
      </c>
      <c r="C7" s="57" t="str">
        <f aca="false">IF(B7=0,"OK","CHECK")</f>
        <v>OK</v>
      </c>
    </row>
    <row r="8" customFormat="false" ht="15" hidden="false" customHeight="false" outlineLevel="0" collapsed="false">
      <c r="A8" s="5" t="s">
        <v>253</v>
      </c>
      <c r="B8" s="56" t="n">
        <f aca="false">ROUND(Debt!E21-Debt!B11,0)</f>
        <v>0</v>
      </c>
      <c r="C8" s="57" t="str">
        <f aca="false">IF(B8=0,"OK","CHECK")</f>
        <v>OK</v>
      </c>
    </row>
    <row r="9" customFormat="false" ht="15" hidden="false" customHeight="false" outlineLevel="0" collapsed="false">
      <c r="A9" s="5" t="s">
        <v>254</v>
      </c>
      <c r="B9" s="56" t="n">
        <f aca="false">Waterfall!C43</f>
        <v>0</v>
      </c>
      <c r="C9" s="57" t="str">
        <f aca="false">IF(B9=0,"OK","CHECK")</f>
        <v>OK</v>
      </c>
    </row>
    <row r="10" customFormat="false" ht="15" hidden="false" customHeight="false" outlineLevel="0" collapsed="false">
      <c r="A10" s="5" t="s">
        <v>255</v>
      </c>
      <c r="B10" s="56" t="n">
        <f aca="false">ROUND(MAX(0,SUM(Waterfall!D35:H36)-SUM(Waterfall!D6:H6)),0)</f>
        <v>0</v>
      </c>
      <c r="C10" s="57" t="str">
        <f aca="false">IF(B10=0,"OK","CHECK")</f>
        <v>OK</v>
      </c>
    </row>
    <row r="11" customFormat="false" ht="15" hidden="false" customHeight="false" outlineLevel="0" collapsed="false">
      <c r="A11" s="5" t="s">
        <v>256</v>
      </c>
      <c r="B11" s="56" t="n">
        <f aca="false">IF(Assumptions!B15=2,ROUND((Sensitivity!D7-'Cash Flow'!C26)*10000,0),0)</f>
        <v>0</v>
      </c>
      <c r="C11" s="57" t="str">
        <f aca="false">IF(B11=0,"OK","CHECK")</f>
        <v>OK</v>
      </c>
    </row>
    <row r="12" customFormat="false" ht="15" hidden="false" customHeight="false" outlineLevel="0" collapsed="false">
      <c r="A12" s="5" t="s">
        <v>257</v>
      </c>
      <c r="B12" s="56" t="n">
        <f aca="false">IF(Debt!B12&gt;=1.2,0,1)</f>
        <v>0</v>
      </c>
      <c r="C12" s="57" t="str">
        <f aca="false">IF(B12=0,"OK","CHECK")</f>
        <v>OK</v>
      </c>
    </row>
    <row r="14" customFormat="false" ht="15" hidden="false" customHeight="false" outlineLevel="0" collapsed="false">
      <c r="A14" s="58" t="s">
        <v>258</v>
      </c>
      <c r="B14" s="59" t="str">
        <f aca="false">IF(COUNTIF(C5:C12,"OK")=8,"ALL CHECKS PASS","REVIEW CHECKS")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transaction.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2026-10-23T19:36:55Z</dcterms:created>
  <dc:creator>openpyxl</dc:creator>
  <dc:description/>
  <dc:language>en-US</dc:language>
  <cp:lastModifiedBy/>
  <dcterms:modified xsi:type="dcterms:W3CDTF">2026-10-23T19:36:55Z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